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2F30D3FC-C83D-4460-80A4-BAC9CA6CCE07}" xr6:coauthVersionLast="45" xr6:coauthVersionMax="45" xr10:uidLastSave="{00000000-0000-0000-0000-000000000000}"/>
  <workbookProtection workbookAlgorithmName="SHA-512" workbookHashValue="jE6Yw1ts/Aj8OKunkLO73x/ihhINKdTZAss5H/bcptSRrhMLspWVqbg9AgK7qAjSnc5wlYyvU3gQeYo8a1q4Bg==" workbookSaltValue="Apru7FIP9iz1jO6uXEV5RQ==" workbookSpinCount="100000" lockStructure="1"/>
  <bookViews>
    <workbookView xWindow="1770" yWindow="3000" windowWidth="24675"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B1777" i="97" s="1"/>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X1777" i="97"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P220" i="72"/>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B41" i="74"/>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J19" i="75" l="1"/>
  <c r="J859" i="97" s="1"/>
  <c r="L859" i="97" s="1"/>
  <c r="M859" i="97" s="1"/>
  <c r="C69" i="74"/>
  <c r="C1165" i="97" s="1"/>
  <c r="C1157" i="97"/>
  <c r="H38" i="87"/>
  <c r="J1188" i="97"/>
  <c r="H97" i="74"/>
  <c r="H1193" i="97" s="1"/>
  <c r="H1186" i="97"/>
  <c r="K27" i="87"/>
  <c r="I1157" i="97"/>
  <c r="H13" i="87"/>
  <c r="E1124" i="97"/>
  <c r="H42" i="87"/>
  <c r="D1218" i="97"/>
  <c r="H18" i="87"/>
  <c r="J1124" i="97"/>
  <c r="K24" i="87"/>
  <c r="F1157" i="97"/>
  <c r="O2049" i="97"/>
  <c r="A963" i="97"/>
  <c r="H26" i="87"/>
  <c r="H1156" i="97"/>
  <c r="H17" i="87"/>
  <c r="I1124" i="97"/>
  <c r="H12" i="87"/>
  <c r="D1124" i="97"/>
  <c r="H21" i="87"/>
  <c r="C1156" i="97"/>
  <c r="H14" i="87"/>
  <c r="F1124" i="97"/>
  <c r="H32" i="87"/>
  <c r="D1188" i="97"/>
  <c r="H20" i="87"/>
  <c r="B1156" i="97"/>
  <c r="H16" i="87"/>
  <c r="H1124" i="97"/>
  <c r="H25" i="87"/>
  <c r="G1156" i="97"/>
  <c r="K34" i="74"/>
  <c r="K1130" i="97" s="1"/>
  <c r="K1122" i="97"/>
  <c r="C11" i="86"/>
  <c r="B1137" i="97"/>
  <c r="D34" i="74"/>
  <c r="D1130" i="97" s="1"/>
  <c r="D1122" i="97"/>
  <c r="H36" i="87"/>
  <c r="H1188" i="97"/>
  <c r="H24" i="87"/>
  <c r="F1156" i="97"/>
  <c r="H27" i="87"/>
  <c r="I1156" i="97"/>
  <c r="H29" i="87"/>
  <c r="K1156" i="97"/>
  <c r="H40" i="87"/>
  <c r="B1218" i="97"/>
  <c r="H28" i="87"/>
  <c r="J1156" i="97"/>
  <c r="H33" i="87"/>
  <c r="E1188" i="97"/>
  <c r="H31" i="87"/>
  <c r="C1188" i="97"/>
  <c r="H22" i="87"/>
  <c r="D1156" i="97"/>
  <c r="C34" i="74"/>
  <c r="C1130" i="97" s="1"/>
  <c r="C1122" i="97"/>
  <c r="C12" i="86"/>
  <c r="B1138" i="97"/>
  <c r="J97" i="74"/>
  <c r="J1193" i="97" s="1"/>
  <c r="J1186" i="97"/>
  <c r="H44" i="87"/>
  <c r="F1218" i="97"/>
  <c r="H30" i="87"/>
  <c r="B1188" i="97"/>
  <c r="H41" i="87"/>
  <c r="C1218" i="97"/>
  <c r="H35" i="87"/>
  <c r="G1188" i="97"/>
  <c r="H66" i="74"/>
  <c r="H1162" i="97" s="1"/>
  <c r="H1154" i="97"/>
  <c r="L1980" i="97"/>
  <c r="Q1980" i="97"/>
  <c r="G97" i="74"/>
  <c r="G1193" i="97" s="1"/>
  <c r="G1186" i="97"/>
  <c r="F97" i="74"/>
  <c r="F1193" i="97" s="1"/>
  <c r="F1186" i="97"/>
  <c r="H23" i="87"/>
  <c r="E1156" i="97"/>
  <c r="H34" i="87"/>
  <c r="F1188" i="97"/>
  <c r="H10" i="87"/>
  <c r="B1124" i="97"/>
  <c r="H39" i="87"/>
  <c r="K1188" i="97"/>
  <c r="H15" i="87"/>
  <c r="G1124" i="97"/>
  <c r="J18" i="75"/>
  <c r="J858" i="97" s="1"/>
  <c r="L858" i="97" s="1"/>
  <c r="M858" i="97" s="1"/>
  <c r="J22" i="75"/>
  <c r="J862" i="97" s="1"/>
  <c r="L862" i="97" s="1"/>
  <c r="M862" i="97" s="1"/>
  <c r="C32" i="74"/>
  <c r="D14" i="86" s="1"/>
  <c r="P479" i="97"/>
  <c r="N65" i="97"/>
  <c r="O65" i="97"/>
  <c r="P844" i="97"/>
  <c r="B40" i="74"/>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B31" i="87"/>
  <c r="I97" i="74"/>
  <c r="I1193" i="97" s="1"/>
  <c r="B37" i="87"/>
  <c r="I69" i="74"/>
  <c r="I1165" i="97" s="1"/>
  <c r="B18" i="87"/>
  <c r="B38" i="87"/>
  <c r="J99" i="74"/>
  <c r="J1195" i="97" s="1"/>
  <c r="B19" i="87"/>
  <c r="H34" i="74"/>
  <c r="H1130" i="97" s="1"/>
  <c r="B16" i="87"/>
  <c r="G34" i="74"/>
  <c r="G1130" i="97" s="1"/>
  <c r="B15" i="87"/>
  <c r="F99" i="74"/>
  <c r="F1195" i="97" s="1"/>
  <c r="B14" i="87"/>
  <c r="B34" i="87"/>
  <c r="B11" i="87"/>
  <c r="C128" i="74"/>
  <c r="C1224" i="97" s="1"/>
  <c r="E41" i="87"/>
  <c r="E2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E39"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I34" i="74"/>
  <c r="I1130" i="97" s="1"/>
  <c r="G66" i="74"/>
  <c r="G1162" i="97" s="1"/>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C97" i="74"/>
  <c r="C1193" i="97" s="1"/>
  <c r="J34" i="74"/>
  <c r="J1130" i="97" s="1"/>
  <c r="F55" i="78"/>
  <c r="C8" i="90"/>
  <c r="B5" i="92" s="1"/>
  <c r="J21" i="75"/>
  <c r="J861" i="97" s="1"/>
  <c r="L861" i="97" s="1"/>
  <c r="M861" i="97" s="1"/>
  <c r="F40" i="78"/>
  <c r="D32" i="74"/>
  <c r="F38" i="78"/>
  <c r="J23" i="75"/>
  <c r="J863" i="97" s="1"/>
  <c r="L863" i="97" s="1"/>
  <c r="M863" i="97" s="1"/>
  <c r="I32" i="74"/>
  <c r="H32" i="74"/>
  <c r="C21" i="90"/>
  <c r="K32" i="74"/>
  <c r="G32" i="74"/>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9"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I1155" i="97" s="1"/>
  <c r="D27" i="74"/>
  <c r="D1123" i="97" s="1"/>
  <c r="C91" i="74"/>
  <c r="G91" i="74"/>
  <c r="G1187" i="97" s="1"/>
  <c r="F127" i="74"/>
  <c r="F1223" i="97" s="1"/>
  <c r="H35" i="74"/>
  <c r="H1131" i="97" s="1"/>
  <c r="K100" i="74"/>
  <c r="K1196"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E32" i="74"/>
  <c r="C99" i="74"/>
  <c r="C1195" i="97" s="1"/>
  <c r="E32" i="86"/>
  <c r="F11" i="86"/>
  <c r="J59" i="74"/>
  <c r="J1155" i="97" s="1"/>
  <c r="F27" i="74"/>
  <c r="J91" i="74"/>
  <c r="J1187" i="97" s="1"/>
  <c r="E64" i="74"/>
  <c r="H38" i="74"/>
  <c r="H1134" i="97" s="1"/>
  <c r="B121" i="74"/>
  <c r="B1217" i="97" s="1"/>
  <c r="E121" i="74"/>
  <c r="E1217" i="97" s="1"/>
  <c r="B59" i="74"/>
  <c r="B1155" i="97" s="1"/>
  <c r="B91" i="74"/>
  <c r="B1187" i="97" s="1"/>
  <c r="E127" i="74"/>
  <c r="E1223" i="97" s="1"/>
  <c r="K99" i="74"/>
  <c r="K1195" i="97" s="1"/>
  <c r="H52" i="86"/>
  <c r="E66" i="74"/>
  <c r="E1162" i="97" s="1"/>
  <c r="C70" i="74"/>
  <c r="C1166" i="97" s="1"/>
  <c r="D31" i="86"/>
  <c r="B36" i="74"/>
  <c r="B1132" i="97" s="1"/>
  <c r="B53" i="82"/>
  <c r="D16" i="86"/>
  <c r="G56" i="86"/>
  <c r="F56" i="86"/>
  <c r="C129" i="74"/>
  <c r="C1225" i="97" s="1"/>
  <c r="K98" i="74"/>
  <c r="K1194" i="97" s="1"/>
  <c r="D52" i="86"/>
  <c r="I68" i="74"/>
  <c r="I1164" i="97" s="1"/>
  <c r="G31" i="86"/>
  <c r="D66" i="74"/>
  <c r="D1162" i="97" s="1"/>
  <c r="F36" i="86"/>
  <c r="E36" i="86"/>
  <c r="C51" i="86"/>
  <c r="G99" i="74"/>
  <c r="G1195" i="97" s="1"/>
  <c r="H32" i="86"/>
  <c r="F68" i="74"/>
  <c r="F1164" i="97" s="1"/>
  <c r="E68" i="74"/>
  <c r="E1164" i="97" s="1"/>
  <c r="F32" i="86"/>
  <c r="H11" i="86"/>
  <c r="E12" i="86"/>
  <c r="D12" i="86"/>
  <c r="D130" i="74"/>
  <c r="D1226" i="97" s="1"/>
  <c r="E56" i="86"/>
  <c r="I36" i="86"/>
  <c r="F129" i="74"/>
  <c r="F1225" i="97" s="1"/>
  <c r="B127" i="74"/>
  <c r="B1223" i="97" s="1"/>
  <c r="K101" i="74"/>
  <c r="K1197"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C31" i="74"/>
  <c r="C1127" i="97" s="1"/>
  <c r="H16" i="86"/>
  <c r="I16" i="86"/>
  <c r="D64" i="74"/>
  <c r="F32" i="74"/>
  <c r="G51" i="86"/>
  <c r="C52" i="86"/>
  <c r="I31" i="86"/>
  <c r="G52" i="86"/>
  <c r="D51" i="86"/>
  <c r="H51" i="86"/>
  <c r="F64" i="74"/>
  <c r="F31" i="86"/>
  <c r="J32" i="74"/>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L22" i="75" l="1"/>
  <c r="M22" i="75" s="1"/>
  <c r="B37" i="74"/>
  <c r="B1133" i="97" s="1"/>
  <c r="K32" i="87"/>
  <c r="D1189" i="97"/>
  <c r="K26" i="87"/>
  <c r="H1157" i="97"/>
  <c r="K34" i="87"/>
  <c r="F1189" i="97"/>
  <c r="G37" i="74"/>
  <c r="G1133" i="97" s="1"/>
  <c r="G1125" i="97"/>
  <c r="B69" i="74"/>
  <c r="B1165" i="97" s="1"/>
  <c r="B1157" i="97"/>
  <c r="D69" i="74"/>
  <c r="D1165" i="97" s="1"/>
  <c r="D1157" i="97"/>
  <c r="I100" i="74"/>
  <c r="I1196" i="97" s="1"/>
  <c r="I1189" i="97"/>
  <c r="K14" i="87"/>
  <c r="F1125" i="97"/>
  <c r="G100" i="74"/>
  <c r="G1196" i="97" s="1"/>
  <c r="G1189" i="97"/>
  <c r="C10" i="86"/>
  <c r="B1136" i="97"/>
  <c r="E67" i="74"/>
  <c r="E1163" i="97" s="1"/>
  <c r="E1155" i="97"/>
  <c r="F45" i="82"/>
  <c r="F1123" i="97"/>
  <c r="C38" i="74"/>
  <c r="C1134" i="97" s="1"/>
  <c r="C1123" i="97"/>
  <c r="K44" i="87"/>
  <c r="F1219" i="97"/>
  <c r="K17" i="87"/>
  <c r="I1125" i="97"/>
  <c r="K23" i="87"/>
  <c r="E1157" i="97"/>
  <c r="H100" i="74"/>
  <c r="H1196" i="97" s="1"/>
  <c r="H1189" i="97"/>
  <c r="B38" i="74"/>
  <c r="B1134" i="97" s="1"/>
  <c r="B1123" i="97"/>
  <c r="K45" i="82"/>
  <c r="K1123" i="97"/>
  <c r="D10" i="86"/>
  <c r="L18" i="75"/>
  <c r="M18" i="75" s="1"/>
  <c r="E100" i="74"/>
  <c r="E1196" i="97" s="1"/>
  <c r="E1189" i="97"/>
  <c r="K43" i="87"/>
  <c r="E1219" i="97"/>
  <c r="R1213" i="97" s="1"/>
  <c r="S1213" i="97" s="1"/>
  <c r="K31" i="87"/>
  <c r="C1189" i="97"/>
  <c r="C101" i="74"/>
  <c r="C1197" i="97" s="1"/>
  <c r="C1187" i="97"/>
  <c r="E29" i="87"/>
  <c r="K1155" i="97"/>
  <c r="E37" i="74"/>
  <c r="E1133" i="97" s="1"/>
  <c r="E1125" i="97"/>
  <c r="D37" i="74"/>
  <c r="D1133" i="97" s="1"/>
  <c r="D1125" i="97"/>
  <c r="K69" i="74"/>
  <c r="K1165" i="97" s="1"/>
  <c r="K1157" i="97"/>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H29" i="95"/>
  <c r="E31" i="95"/>
  <c r="F29" i="95"/>
  <c r="G28" i="95"/>
  <c r="F25" i="95"/>
  <c r="I27" i="95"/>
  <c r="G31" i="95"/>
  <c r="E27" i="95"/>
  <c r="M889" i="97"/>
  <c r="M890" i="97" s="1"/>
  <c r="O1058" i="97"/>
  <c r="Q1065" i="97"/>
  <c r="P1066" i="97" s="1"/>
  <c r="I1128" i="97"/>
  <c r="J1128" i="97"/>
  <c r="E1128" i="97"/>
  <c r="B1128" i="97"/>
  <c r="B44" i="74"/>
  <c r="B1140" i="97" s="1"/>
  <c r="F1128" i="97"/>
  <c r="D1128" i="97"/>
  <c r="C1160" i="97"/>
  <c r="B1160" i="97"/>
  <c r="E1160" i="97"/>
  <c r="F1160" i="97"/>
  <c r="D1160" i="97"/>
  <c r="G1128" i="97"/>
  <c r="K1128" i="97"/>
  <c r="H1128" i="97"/>
  <c r="C1128" i="97"/>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H70" i="74"/>
  <c r="H1166" i="97" s="1"/>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F14" i="86"/>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C34" i="86"/>
  <c r="H14" i="86"/>
  <c r="F101" i="74"/>
  <c r="F1197" i="97" s="1"/>
  <c r="E34" i="87"/>
  <c r="E128" i="74"/>
  <c r="E1224" i="97" s="1"/>
  <c r="E43" i="87"/>
  <c r="F131" i="74"/>
  <c r="F1227" i="97" s="1"/>
  <c r="E44" i="87"/>
  <c r="F65" i="82"/>
  <c r="E24" i="87"/>
  <c r="G98" i="74"/>
  <c r="G1194" i="97" s="1"/>
  <c r="E35" i="87"/>
  <c r="E34" i="86"/>
  <c r="B131" i="74"/>
  <c r="B1227" i="97" s="1"/>
  <c r="E40" i="87"/>
  <c r="D131" i="74"/>
  <c r="D1227" i="97" s="1"/>
  <c r="E42" i="87"/>
  <c r="E17" i="87"/>
  <c r="E31" i="87"/>
  <c r="E14" i="86"/>
  <c r="G38" i="74"/>
  <c r="G1134" i="97" s="1"/>
  <c r="E15" i="87"/>
  <c r="G65" i="82"/>
  <c r="E25" i="87"/>
  <c r="E10" i="87"/>
  <c r="E23" i="87"/>
  <c r="D38" i="74"/>
  <c r="D1134" i="97" s="1"/>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I34" i="86"/>
  <c r="F98" i="74"/>
  <c r="F1194" i="97" s="1"/>
  <c r="F67" i="74"/>
  <c r="F1163" i="97" s="1"/>
  <c r="F70" i="74"/>
  <c r="F1166" i="97" s="1"/>
  <c r="K33" i="84"/>
  <c r="J35" i="74"/>
  <c r="J1131" i="97" s="1"/>
  <c r="F128" i="74"/>
  <c r="F1224" i="97" s="1"/>
  <c r="I35" i="74"/>
  <c r="I1131" i="97" s="1"/>
  <c r="I38" i="74"/>
  <c r="I1134"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R1183" i="97" l="1"/>
  <c r="S1183" i="97" s="1"/>
  <c r="R1151" i="97"/>
  <c r="S1151" i="97" s="1"/>
  <c r="A21" i="83"/>
  <c r="E31" i="74"/>
  <c r="E1127" i="97" s="1"/>
  <c r="D1127" i="97"/>
  <c r="J27" i="95"/>
  <c r="J28" i="95"/>
  <c r="J26" i="95"/>
  <c r="J30" i="95"/>
  <c r="J25" i="95"/>
  <c r="J29" i="95"/>
  <c r="J31" i="95"/>
  <c r="N1065" i="97"/>
  <c r="R1127" i="97"/>
  <c r="R1117" i="97"/>
  <c r="R1126" i="97"/>
  <c r="R1122" i="97"/>
  <c r="R1135" i="97"/>
  <c r="R1123" i="97"/>
  <c r="R1128" i="97"/>
  <c r="R1129" i="97"/>
  <c r="R1124" i="97"/>
  <c r="R1125" i="97"/>
  <c r="R1118" i="97"/>
  <c r="R1130" i="97"/>
  <c r="R1131" i="97"/>
  <c r="R1136" i="97"/>
  <c r="R1132" i="97"/>
  <c r="R1119" i="97"/>
  <c r="R1120" i="97"/>
  <c r="R1133" i="97"/>
  <c r="R1121" i="97"/>
  <c r="R1134" i="97"/>
  <c r="C44" i="74"/>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63" i="73" l="1"/>
  <c r="G1303" i="97"/>
  <c r="L1304" i="97"/>
  <c r="I1304" i="97"/>
  <c r="K59" i="73"/>
  <c r="M44" i="73"/>
  <c r="F10" i="86"/>
  <c r="E1136" i="97"/>
  <c r="B1117" i="97"/>
  <c r="H44" i="73"/>
  <c r="M42" i="73"/>
  <c r="K73" i="75"/>
  <c r="K85" i="75"/>
  <c r="K79" i="75"/>
  <c r="K88" i="75"/>
  <c r="K70" i="75"/>
  <c r="K76" i="75"/>
  <c r="K82" i="75"/>
  <c r="C1140" i="97"/>
  <c r="D44" i="74"/>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I1303" i="97" l="1"/>
  <c r="I1307" i="97" s="1"/>
  <c r="L1303" i="97"/>
  <c r="G10" i="86"/>
  <c r="F1136" i="97"/>
  <c r="D1117" i="97"/>
  <c r="C1117" i="97"/>
  <c r="E1117" i="97"/>
  <c r="F1117" i="97"/>
  <c r="H57" i="73"/>
  <c r="P176" i="75"/>
  <c r="N56" i="73"/>
  <c r="H58" i="73"/>
  <c r="O342" i="72"/>
  <c r="L85" i="75"/>
  <c r="L76" i="75"/>
  <c r="L70" i="75"/>
  <c r="L73" i="75"/>
  <c r="L79" i="75"/>
  <c r="L88" i="75"/>
  <c r="L82" i="75"/>
  <c r="M85" i="75"/>
  <c r="M73" i="75"/>
  <c r="M76" i="75"/>
  <c r="M79" i="75"/>
  <c r="M82" i="75"/>
  <c r="M88" i="75"/>
  <c r="M70" i="75"/>
  <c r="N70" i="75"/>
  <c r="N82" i="75"/>
  <c r="N79" i="75"/>
  <c r="N73" i="75"/>
  <c r="N76" i="75"/>
  <c r="N88" i="75"/>
  <c r="N85" i="75"/>
  <c r="O79" i="75"/>
  <c r="O76" i="75"/>
  <c r="O85" i="75"/>
  <c r="O82" i="75"/>
  <c r="O73" i="75"/>
  <c r="O88" i="75"/>
  <c r="O70" i="75"/>
  <c r="F15" i="74"/>
  <c r="F1111" i="97" s="1"/>
  <c r="B1111" i="97"/>
  <c r="D1140" i="97"/>
  <c r="E44" i="74"/>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H10" i="86" l="1"/>
  <c r="G1136" i="97"/>
  <c r="G1117" i="97"/>
  <c r="G53" i="82"/>
  <c r="Q232" i="75"/>
  <c r="E174" i="90"/>
  <c r="E175" i="90" s="1"/>
  <c r="N60" i="73"/>
  <c r="M69" i="73" s="1"/>
  <c r="N232" i="75"/>
  <c r="C66" i="84"/>
  <c r="I66" i="84" s="1"/>
  <c r="H88" i="97"/>
  <c r="Q1072" i="97"/>
  <c r="N1072" i="97"/>
  <c r="Q1084" i="97"/>
  <c r="P76" i="75"/>
  <c r="P70" i="75"/>
  <c r="P79" i="75"/>
  <c r="P82" i="75"/>
  <c r="P73" i="75"/>
  <c r="P88" i="75"/>
  <c r="P85" i="75"/>
  <c r="S696" i="97"/>
  <c r="L330" i="72"/>
  <c r="K220" i="72"/>
  <c r="M1762" i="97"/>
  <c r="L108" i="72"/>
  <c r="L98" i="72"/>
  <c r="G16" i="74"/>
  <c r="G1112" i="97" s="1"/>
  <c r="B1112" i="97"/>
  <c r="E1140" i="97"/>
  <c r="F44" i="74"/>
  <c r="J674" i="97"/>
  <c r="I60" i="73"/>
  <c r="H69" i="73" s="1"/>
  <c r="P63" i="73" s="1"/>
  <c r="J682" i="97" s="1"/>
  <c r="N1300" i="97"/>
  <c r="M1309" i="97" s="1"/>
  <c r="Q244" i="75"/>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D16" i="74"/>
  <c r="D1112" i="97" s="1"/>
  <c r="E16" i="74"/>
  <c r="C53" i="84"/>
  <c r="I53" i="84" s="1"/>
  <c r="I54" i="84" s="1"/>
  <c r="C16" i="74"/>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B39" i="74" l="1"/>
  <c r="B1135" i="97" s="1"/>
  <c r="I10" i="86"/>
  <c r="H1136" i="97"/>
  <c r="C1112" i="97"/>
  <c r="E1112" i="97"/>
  <c r="H1117" i="97"/>
  <c r="I31" i="74"/>
  <c r="I1127" i="97" s="1"/>
  <c r="H1127" i="97"/>
  <c r="G66" i="84"/>
  <c r="K66" i="84"/>
  <c r="E66" i="84"/>
  <c r="E23" i="74"/>
  <c r="E1119" i="97" s="1"/>
  <c r="H23" i="74"/>
  <c r="H1119" i="97" s="1"/>
  <c r="B1119" i="97"/>
  <c r="N86" i="75"/>
  <c r="N87" i="75" s="1"/>
  <c r="P86" i="75"/>
  <c r="P87" i="75" s="1"/>
  <c r="M86" i="75"/>
  <c r="M87" i="75" s="1"/>
  <c r="L86" i="75"/>
  <c r="L87" i="75" s="1"/>
  <c r="O86" i="75"/>
  <c r="O87" i="75" s="1"/>
  <c r="K86" i="75"/>
  <c r="K87" i="75" s="1"/>
  <c r="P89" i="75"/>
  <c r="P90" i="75" s="1"/>
  <c r="L89" i="75"/>
  <c r="L90" i="75" s="1"/>
  <c r="M89" i="75"/>
  <c r="M90" i="75" s="1"/>
  <c r="K89" i="75"/>
  <c r="K90" i="75" s="1"/>
  <c r="N89" i="75"/>
  <c r="N90" i="75" s="1"/>
  <c r="O89" i="75"/>
  <c r="O90" i="75" s="1"/>
  <c r="P74" i="75"/>
  <c r="P75" i="75" s="1"/>
  <c r="M74" i="75"/>
  <c r="M75" i="75" s="1"/>
  <c r="K74" i="75"/>
  <c r="K75" i="75" s="1"/>
  <c r="N74" i="75"/>
  <c r="N75" i="75" s="1"/>
  <c r="O74" i="75"/>
  <c r="O75" i="75" s="1"/>
  <c r="L74" i="75"/>
  <c r="L75" i="75" s="1"/>
  <c r="P83" i="75"/>
  <c r="P84" i="75" s="1"/>
  <c r="K83" i="75"/>
  <c r="K84" i="75" s="1"/>
  <c r="L83" i="75"/>
  <c r="L84" i="75" s="1"/>
  <c r="N83" i="75"/>
  <c r="N84" i="75" s="1"/>
  <c r="M83" i="75"/>
  <c r="M84" i="75" s="1"/>
  <c r="O83" i="75"/>
  <c r="O84" i="75" s="1"/>
  <c r="L1803" i="97"/>
  <c r="L1817" i="97"/>
  <c r="L1827" i="97"/>
  <c r="M2120" i="97"/>
  <c r="P80" i="75"/>
  <c r="P81" i="75" s="1"/>
  <c r="L80" i="75"/>
  <c r="L81" i="75" s="1"/>
  <c r="O80" i="75"/>
  <c r="O81" i="75" s="1"/>
  <c r="N80" i="75"/>
  <c r="N81" i="75" s="1"/>
  <c r="M80" i="75"/>
  <c r="M81" i="75" s="1"/>
  <c r="K80" i="75"/>
  <c r="K81" i="75" s="1"/>
  <c r="P71" i="75"/>
  <c r="P72" i="75" s="1"/>
  <c r="O71" i="75"/>
  <c r="O72" i="75" s="1"/>
  <c r="N71" i="75"/>
  <c r="N72" i="75" s="1"/>
  <c r="M71" i="75"/>
  <c r="M72" i="75" s="1"/>
  <c r="K71" i="75"/>
  <c r="K72" i="75" s="1"/>
  <c r="L71" i="75"/>
  <c r="L72" i="75" s="1"/>
  <c r="P77" i="75"/>
  <c r="P78" i="75" s="1"/>
  <c r="O77" i="75"/>
  <c r="O78" i="75" s="1"/>
  <c r="M77" i="75"/>
  <c r="M78" i="75" s="1"/>
  <c r="L77" i="75"/>
  <c r="L78" i="75" s="1"/>
  <c r="N77" i="75"/>
  <c r="N78" i="75" s="1"/>
  <c r="K77" i="75"/>
  <c r="K78" i="75" s="1"/>
  <c r="G17" i="74"/>
  <c r="G1113" i="97" s="1"/>
  <c r="B20" i="74"/>
  <c r="B1116" i="97" s="1"/>
  <c r="B1113" i="97"/>
  <c r="F1140" i="97"/>
  <c r="G44" i="74"/>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H17" i="74"/>
  <c r="H1113" i="97" s="1"/>
  <c r="I24" i="74"/>
  <c r="I1120" i="97" s="1"/>
  <c r="J14" i="74"/>
  <c r="J22" i="74" s="1"/>
  <c r="J1118" i="97" s="1"/>
  <c r="I16" i="74"/>
  <c r="I1112" i="97" s="1"/>
  <c r="I15" i="74"/>
  <c r="I1111" i="97" s="1"/>
  <c r="I21" i="74"/>
  <c r="G13" i="86"/>
  <c r="I53" i="82" l="1"/>
  <c r="K70" i="84"/>
  <c r="K72" i="84" s="1"/>
  <c r="C30" i="86"/>
  <c r="I1136" i="97"/>
  <c r="J31" i="74"/>
  <c r="J1127" i="97" s="1"/>
  <c r="D39" i="74"/>
  <c r="D1135" i="97" s="1"/>
  <c r="F39" i="74"/>
  <c r="F1135" i="97" s="1"/>
  <c r="E39" i="74"/>
  <c r="E1135" i="97" s="1"/>
  <c r="G39" i="74"/>
  <c r="G1135" i="97" s="1"/>
  <c r="C39" i="74"/>
  <c r="C1135" i="97" s="1"/>
  <c r="H39" i="74"/>
  <c r="H1135" i="97" s="1"/>
  <c r="I1117" i="97"/>
  <c r="E70" i="84"/>
  <c r="E76" i="84" s="1"/>
  <c r="E73" i="84" s="1"/>
  <c r="F13" i="86"/>
  <c r="C33" i="86"/>
  <c r="D13" i="86"/>
  <c r="H13" i="86"/>
  <c r="I13" i="86"/>
  <c r="E13" i="86"/>
  <c r="C20" i="74"/>
  <c r="C1116" i="97" s="1"/>
  <c r="G20" i="74"/>
  <c r="G1116" i="97" s="1"/>
  <c r="B25" i="74"/>
  <c r="B1121" i="97" s="1"/>
  <c r="G1140" i="97"/>
  <c r="H44" i="74"/>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I72" i="84"/>
  <c r="K31" i="74"/>
  <c r="K1127" i="97" s="1"/>
  <c r="K14" i="74"/>
  <c r="K22" i="74" s="1"/>
  <c r="K1118" i="97" s="1"/>
  <c r="J24" i="74"/>
  <c r="J1120" i="97" s="1"/>
  <c r="J15" i="74"/>
  <c r="J1111" i="97" s="1"/>
  <c r="J16" i="74"/>
  <c r="J1112" i="97" s="1"/>
  <c r="J21" i="74"/>
  <c r="J23" i="74"/>
  <c r="J1119" i="97" s="1"/>
  <c r="I17" i="74"/>
  <c r="I1113" i="97" s="1"/>
  <c r="H20" i="74"/>
  <c r="H1116" i="97" s="1"/>
  <c r="J53" i="82" l="1"/>
  <c r="K76" i="84"/>
  <c r="K73" i="84" s="1"/>
  <c r="D30" i="86"/>
  <c r="J1136" i="97"/>
  <c r="I39" i="74"/>
  <c r="I1135" i="97" s="1"/>
  <c r="G25" i="74"/>
  <c r="G1121" i="97" s="1"/>
  <c r="C25" i="74"/>
  <c r="C1121" i="97" s="1"/>
  <c r="E72" i="84"/>
  <c r="J1117" i="97"/>
  <c r="B33" i="74"/>
  <c r="B1129" i="97" s="1"/>
  <c r="S1117" i="97" s="1"/>
  <c r="B44" i="82"/>
  <c r="B51" i="82" s="1"/>
  <c r="H1140" i="97"/>
  <c r="I44" i="74"/>
  <c r="K40" i="74"/>
  <c r="E25" i="74"/>
  <c r="G72" i="84"/>
  <c r="D25" i="74"/>
  <c r="F25" i="74"/>
  <c r="F1121" i="97" s="1"/>
  <c r="J184" i="78"/>
  <c r="J186" i="78" s="1"/>
  <c r="I20" i="74"/>
  <c r="I1116" i="97" s="1"/>
  <c r="K24" i="74"/>
  <c r="K1120" i="97" s="1"/>
  <c r="B46" i="74"/>
  <c r="B54" i="74" s="1"/>
  <c r="B1150" i="97" s="1"/>
  <c r="K15" i="74"/>
  <c r="K1111" i="97" s="1"/>
  <c r="K16" i="74"/>
  <c r="K1112" i="97" s="1"/>
  <c r="K21" i="74"/>
  <c r="K23" i="74"/>
  <c r="K1119" i="97" s="1"/>
  <c r="H25" i="74"/>
  <c r="H1121" i="97" s="1"/>
  <c r="D33" i="86"/>
  <c r="B63" i="74"/>
  <c r="B1159" i="97" s="1"/>
  <c r="K53" i="82"/>
  <c r="J17" i="74"/>
  <c r="J1113" i="97" s="1"/>
  <c r="C33" i="74" l="1"/>
  <c r="C1129" i="97" s="1"/>
  <c r="G33" i="74"/>
  <c r="G1129" i="97" s="1"/>
  <c r="E30" i="86"/>
  <c r="K1136" i="97"/>
  <c r="G44" i="82"/>
  <c r="G51" i="82" s="1"/>
  <c r="C44" i="82"/>
  <c r="C46" i="82" s="1"/>
  <c r="J39" i="74"/>
  <c r="J1135" i="97" s="1"/>
  <c r="K1117" i="97"/>
  <c r="B46" i="82"/>
  <c r="C9" i="86"/>
  <c r="C17" i="86" s="1"/>
  <c r="C18" i="86" s="1"/>
  <c r="C20" i="86" s="1"/>
  <c r="C24" i="86" s="1"/>
  <c r="K6" i="86" s="1"/>
  <c r="G66" i="86" s="1"/>
  <c r="N92" i="85" s="1"/>
  <c r="S21" i="74"/>
  <c r="E33" i="74"/>
  <c r="E1129" i="97" s="1"/>
  <c r="E1121" i="97"/>
  <c r="D44" i="82"/>
  <c r="D46" i="82" s="1"/>
  <c r="D1121" i="97"/>
  <c r="I1140" i="97"/>
  <c r="J44" i="74"/>
  <c r="S1118" i="97"/>
  <c r="B15" i="82"/>
  <c r="J189" i="78"/>
  <c r="M195" i="78" s="1"/>
  <c r="B72" i="74"/>
  <c r="E44" i="82"/>
  <c r="E46" i="82" s="1"/>
  <c r="D33" i="74"/>
  <c r="D1129" i="97" s="1"/>
  <c r="S22" i="74"/>
  <c r="D9" i="86"/>
  <c r="D17" i="86" s="1"/>
  <c r="D18" i="86" s="1"/>
  <c r="D20" i="86" s="1"/>
  <c r="D24" i="86" s="1"/>
  <c r="K7" i="86" s="1"/>
  <c r="G46" i="82"/>
  <c r="F44" i="82"/>
  <c r="F33" i="74"/>
  <c r="F1129" i="97" s="1"/>
  <c r="I25" i="74"/>
  <c r="I1121" i="97" s="1"/>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H9" i="86" l="1"/>
  <c r="H17" i="86" s="1"/>
  <c r="H18" i="86" s="1"/>
  <c r="H20" i="86" s="1"/>
  <c r="H24" i="86" s="1"/>
  <c r="K11" i="86" s="1"/>
  <c r="C51" i="82"/>
  <c r="F30" i="86"/>
  <c r="B1168" i="97"/>
  <c r="K39" i="74"/>
  <c r="K1135" i="97" s="1"/>
  <c r="B1149" i="97"/>
  <c r="F9" i="86"/>
  <c r="F17" i="86" s="1"/>
  <c r="F18" i="86" s="1"/>
  <c r="F20" i="86" s="1"/>
  <c r="F24" i="86" s="1"/>
  <c r="K9" i="86" s="1"/>
  <c r="D51" i="82"/>
  <c r="S1121" i="97"/>
  <c r="S1120" i="97"/>
  <c r="S1119" i="97"/>
  <c r="J1140" i="97"/>
  <c r="K44" i="74"/>
  <c r="S1122" i="97"/>
  <c r="S1123"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J1121" i="97" s="1"/>
  <c r="I33" i="74"/>
  <c r="I1129"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G30" i="86" l="1"/>
  <c r="C1168" i="97"/>
  <c r="B71" i="74"/>
  <c r="B1167" i="97" s="1"/>
  <c r="C1149" i="97"/>
  <c r="K1140" i="97"/>
  <c r="B76" i="74"/>
  <c r="S1124"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K1121" i="97" s="1"/>
  <c r="B52" i="74"/>
  <c r="B1148" i="97" s="1"/>
  <c r="C49" i="74"/>
  <c r="C1145" i="97" s="1"/>
  <c r="H30" i="86" l="1"/>
  <c r="D1168" i="97"/>
  <c r="C71" i="74"/>
  <c r="C1167" i="97" s="1"/>
  <c r="D1149" i="97"/>
  <c r="B1172" i="97"/>
  <c r="C76" i="74"/>
  <c r="S1125" i="97"/>
  <c r="E72" i="74"/>
  <c r="J51" i="82"/>
  <c r="S29" i="74"/>
  <c r="D29" i="86"/>
  <c r="D37" i="86" s="1"/>
  <c r="D38" i="86" s="1"/>
  <c r="D40" i="86" s="1"/>
  <c r="D44" i="86" s="1"/>
  <c r="K14" i="86" s="1"/>
  <c r="C52" i="74"/>
  <c r="C1148" i="97" s="1"/>
  <c r="E73" i="82"/>
  <c r="F63" i="74"/>
  <c r="F1159" i="97" s="1"/>
  <c r="D49" i="74"/>
  <c r="D1145" i="97" s="1"/>
  <c r="B57" i="74"/>
  <c r="B1153" i="97" s="1"/>
  <c r="K44" i="82"/>
  <c r="K33" i="74"/>
  <c r="K1129" i="97" s="1"/>
  <c r="E47" i="74"/>
  <c r="E1143" i="97" s="1"/>
  <c r="E56" i="74"/>
  <c r="E1152" i="97" s="1"/>
  <c r="F46" i="74"/>
  <c r="F54" i="74" s="1"/>
  <c r="F1150" i="97" s="1"/>
  <c r="E48" i="74"/>
  <c r="E1144" i="97" s="1"/>
  <c r="E53" i="74"/>
  <c r="E55" i="74"/>
  <c r="E1151" i="97" s="1"/>
  <c r="H33" i="86"/>
  <c r="I30" i="86" l="1"/>
  <c r="E1168" i="97"/>
  <c r="D71" i="74"/>
  <c r="D1167" i="97" s="1"/>
  <c r="E1149" i="97"/>
  <c r="C1172" i="97"/>
  <c r="D76" i="74"/>
  <c r="S1126" i="97"/>
  <c r="F72" i="74"/>
  <c r="C57" i="74"/>
  <c r="C1153" i="97" s="1"/>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C50" i="86" l="1"/>
  <c r="F1168" i="97"/>
  <c r="E71" i="74"/>
  <c r="E1167" i="97" s="1"/>
  <c r="F1149" i="97"/>
  <c r="D1172" i="97"/>
  <c r="E76" i="74"/>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D1153" i="97" s="1"/>
  <c r="G56" i="74"/>
  <c r="G1152" i="97" s="1"/>
  <c r="G48" i="74"/>
  <c r="G1144" i="97" s="1"/>
  <c r="H46" i="74"/>
  <c r="H54" i="74" s="1"/>
  <c r="H1150" i="97" s="1"/>
  <c r="G47" i="74"/>
  <c r="G1143" i="97" s="1"/>
  <c r="G53" i="74"/>
  <c r="G55" i="74"/>
  <c r="G1151" i="97" s="1"/>
  <c r="D50" i="86" l="1"/>
  <c r="G1168" i="97"/>
  <c r="F71" i="74"/>
  <c r="F1167" i="97" s="1"/>
  <c r="G1149" i="97"/>
  <c r="E1172" i="97"/>
  <c r="F76" i="74"/>
  <c r="H72" i="74"/>
  <c r="G29" i="86"/>
  <c r="G37" i="86" s="1"/>
  <c r="G38" i="86" s="1"/>
  <c r="G40" i="86" s="1"/>
  <c r="G44" i="86" s="1"/>
  <c r="K17" i="86" s="1"/>
  <c r="C71" i="82"/>
  <c r="C74" i="82" s="1"/>
  <c r="C75" i="82" s="1"/>
  <c r="C76" i="82" s="1"/>
  <c r="S32" i="74"/>
  <c r="E57" i="74"/>
  <c r="E115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E50" i="86" l="1"/>
  <c r="H1168" i="97"/>
  <c r="D57" i="86"/>
  <c r="D58" i="86" s="1"/>
  <c r="D60" i="86" s="1"/>
  <c r="D64" i="86" s="1"/>
  <c r="K21" i="86" s="1"/>
  <c r="G71" i="74"/>
  <c r="G1167" i="97" s="1"/>
  <c r="H1149" i="97"/>
  <c r="F1172" i="97"/>
  <c r="G76" i="74"/>
  <c r="G1172" i="97" s="1"/>
  <c r="S1129" i="97"/>
  <c r="I72" i="74"/>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F1153" i="97" s="1"/>
  <c r="E57" i="86" l="1"/>
  <c r="E58" i="86" s="1"/>
  <c r="E60" i="86" s="1"/>
  <c r="E64" i="86" s="1"/>
  <c r="K22" i="86" s="1"/>
  <c r="F50" i="86"/>
  <c r="I1168" i="97"/>
  <c r="H71" i="74"/>
  <c r="H1167" i="97" s="1"/>
  <c r="I1149"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G1153" i="97" s="1"/>
  <c r="F65" i="74"/>
  <c r="F1161" i="97" s="1"/>
  <c r="F64" i="82"/>
  <c r="I49" i="74"/>
  <c r="I1145" i="97" s="1"/>
  <c r="J73" i="82"/>
  <c r="K63" i="74"/>
  <c r="K1159" i="97" s="1"/>
  <c r="D75" i="82"/>
  <c r="D76" i="82" s="1"/>
  <c r="E75" i="82"/>
  <c r="E76" i="82" s="1"/>
  <c r="H52" i="74"/>
  <c r="H1148" i="97" s="1"/>
  <c r="F53" i="86"/>
  <c r="I71" i="74" l="1"/>
  <c r="I1167" i="97" s="1"/>
  <c r="G50" i="86"/>
  <c r="J1168" i="97"/>
  <c r="F57" i="86"/>
  <c r="F58" i="86" s="1"/>
  <c r="F60" i="86" s="1"/>
  <c r="F64" i="86" s="1"/>
  <c r="K23" i="86" s="1"/>
  <c r="J1149" i="97"/>
  <c r="S1131" i="97"/>
  <c r="K72" i="74"/>
  <c r="K1168" i="97" s="1"/>
  <c r="I52" i="74"/>
  <c r="I1148" i="97" s="1"/>
  <c r="F66" i="82"/>
  <c r="F71" i="82"/>
  <c r="F74" i="82" s="1"/>
  <c r="G53" i="86"/>
  <c r="G64" i="82"/>
  <c r="G65" i="74"/>
  <c r="G1161" i="97" s="1"/>
  <c r="J49" i="74"/>
  <c r="J1145" i="97" s="1"/>
  <c r="C49" i="86"/>
  <c r="S35" i="74"/>
  <c r="K73" i="82"/>
  <c r="B95" i="74"/>
  <c r="B1191" i="97" s="1"/>
  <c r="B78" i="74"/>
  <c r="B86" i="74" s="1"/>
  <c r="B1182" i="97" s="1"/>
  <c r="K56" i="74"/>
  <c r="K1152" i="97" s="1"/>
  <c r="K47" i="74"/>
  <c r="K1143" i="97" s="1"/>
  <c r="K48" i="74"/>
  <c r="K1144" i="97" s="1"/>
  <c r="K53" i="74"/>
  <c r="K55" i="74"/>
  <c r="K1151" i="97" s="1"/>
  <c r="H57" i="74"/>
  <c r="H1153" i="97" s="1"/>
  <c r="G57" i="86" l="1"/>
  <c r="G58" i="86" s="1"/>
  <c r="G60" i="86" s="1"/>
  <c r="G64" i="86" s="1"/>
  <c r="K24" i="86" s="1"/>
  <c r="J71" i="74"/>
  <c r="J1167" i="97" s="1"/>
  <c r="K1149" i="97"/>
  <c r="S1132" i="97"/>
  <c r="B103" i="74"/>
  <c r="B1199" i="97" s="1"/>
  <c r="L100" i="85"/>
  <c r="O8" i="86"/>
  <c r="O14" i="86" s="1"/>
  <c r="O33" i="86" s="1"/>
  <c r="H63" i="86" s="1"/>
  <c r="L70" i="85"/>
  <c r="H50" i="86"/>
  <c r="F47" i="68"/>
  <c r="F481" i="97" s="1"/>
  <c r="I57" i="74"/>
  <c r="I1153" i="97" s="1"/>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B1181" i="97"/>
  <c r="H57" i="86"/>
  <c r="H58" i="86" s="1"/>
  <c r="H60" i="86" s="1"/>
  <c r="H64" i="86" s="1"/>
  <c r="K25" i="86" s="1"/>
  <c r="C86" i="90"/>
  <c r="F60" i="89"/>
  <c r="C103" i="74"/>
  <c r="C1199" i="97" s="1"/>
  <c r="I65" i="74"/>
  <c r="I1161" i="97" s="1"/>
  <c r="L47" i="68"/>
  <c r="L481" i="97" s="1"/>
  <c r="J57" i="74"/>
  <c r="J1153" i="97" s="1"/>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S1134"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K1153" i="97" s="1"/>
  <c r="C102" i="74" l="1"/>
  <c r="C1198" i="97" s="1"/>
  <c r="D1181" i="97"/>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B1185" i="97" s="1"/>
  <c r="D102" i="74" l="1"/>
  <c r="D1198" i="97" s="1"/>
  <c r="E1181" i="97"/>
  <c r="F103" i="74"/>
  <c r="F1199" i="97" s="1"/>
  <c r="B96" i="74"/>
  <c r="B1192" i="97" s="1"/>
  <c r="C89" i="74"/>
  <c r="C1185" i="97" s="1"/>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D1185" i="97" s="1"/>
  <c r="F102" i="74" l="1"/>
  <c r="F1198" i="97" s="1"/>
  <c r="G1181" i="97"/>
  <c r="H103" i="74"/>
  <c r="H1199" i="97" s="1"/>
  <c r="D96" i="74"/>
  <c r="D1192" i="97" s="1"/>
  <c r="E89" i="74"/>
  <c r="E1185" i="97" s="1"/>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I103" i="74"/>
  <c r="I1199" i="97" s="1"/>
  <c r="E96" i="74"/>
  <c r="E1192" i="97" s="1"/>
  <c r="F89" i="74"/>
  <c r="F1185" i="97" s="1"/>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G1185" i="97" s="1"/>
  <c r="H84" i="74"/>
  <c r="H1180" i="97" s="1"/>
  <c r="I102" i="74" l="1"/>
  <c r="I1198" i="97" s="1"/>
  <c r="J1181" i="97"/>
  <c r="K103" i="74"/>
  <c r="K1199" i="97" s="1"/>
  <c r="G96" i="74"/>
  <c r="G1192" i="97" s="1"/>
  <c r="H89" i="74"/>
  <c r="H1185" i="97" s="1"/>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B133" i="74"/>
  <c r="B1229" i="97" s="1"/>
  <c r="H96" i="74"/>
  <c r="H1192" i="97" s="1"/>
  <c r="J84" i="74"/>
  <c r="J1180" i="97" s="1"/>
  <c r="K81" i="74"/>
  <c r="K1177" i="97" s="1"/>
  <c r="C125" i="74"/>
  <c r="C1221" i="97" s="1"/>
  <c r="I89" i="74"/>
  <c r="I1185" i="97" s="1"/>
  <c r="B109" i="74"/>
  <c r="B1205" i="97" s="1"/>
  <c r="C108" i="74"/>
  <c r="C116" i="74" s="1"/>
  <c r="C1212" i="97" s="1"/>
  <c r="B110" i="74"/>
  <c r="B1206" i="97" s="1"/>
  <c r="B118" i="74"/>
  <c r="B1214" i="97" s="1"/>
  <c r="B115" i="74"/>
  <c r="B117" i="74"/>
  <c r="B1213" i="97" s="1"/>
  <c r="K102" i="74" l="1"/>
  <c r="K1198" i="97" s="1"/>
  <c r="B1211" i="97"/>
  <c r="C133" i="74"/>
  <c r="C1229" i="97" s="1"/>
  <c r="I96" i="74"/>
  <c r="I1192" i="97" s="1"/>
  <c r="J89" i="74"/>
  <c r="J1185" i="97" s="1"/>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D133" i="74"/>
  <c r="D1229" i="97" s="1"/>
  <c r="K89" i="74"/>
  <c r="K1185" i="97" s="1"/>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D1211" i="97"/>
  <c r="E133" i="74"/>
  <c r="E1229" i="97" s="1"/>
  <c r="K96" i="74"/>
  <c r="K1192" i="97" s="1"/>
  <c r="B119" i="74"/>
  <c r="B1215" i="97" s="1"/>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F133" i="74"/>
  <c r="F1229" i="97" s="1"/>
  <c r="B126" i="74"/>
  <c r="B1222" i="97" s="1"/>
  <c r="C119" i="74"/>
  <c r="C1215" i="97" s="1"/>
  <c r="E111" i="74"/>
  <c r="E1207" i="97" s="1"/>
  <c r="F118" i="74"/>
  <c r="F1214" i="97" s="1"/>
  <c r="F110" i="74"/>
  <c r="F1206" i="97" s="1"/>
  <c r="F109" i="74"/>
  <c r="F1205" i="97" s="1"/>
  <c r="F115" i="74"/>
  <c r="F117" i="74"/>
  <c r="F1213" i="97" s="1"/>
  <c r="D114" i="74"/>
  <c r="D1210" i="97" s="1"/>
  <c r="E132" i="74" l="1"/>
  <c r="E1228" i="97" s="1"/>
  <c r="F1211" i="97"/>
  <c r="C126" i="74"/>
  <c r="C1222" i="97" s="1"/>
  <c r="E114" i="74"/>
  <c r="E1210" i="97" s="1"/>
  <c r="F111" i="74"/>
  <c r="F1207" i="97" s="1"/>
  <c r="D119" i="74"/>
  <c r="D1215" i="97" s="1"/>
  <c r="F132" i="74" l="1"/>
  <c r="F1228" i="97" s="1"/>
  <c r="D126" i="74"/>
  <c r="D1222" i="97" s="1"/>
  <c r="E119" i="74"/>
  <c r="E1215" i="97" s="1"/>
  <c r="F114" i="74"/>
  <c r="F1210" i="97" s="1"/>
  <c r="E126" i="74" l="1"/>
  <c r="E1222" i="97" s="1"/>
  <c r="F119" i="74"/>
  <c r="F1215" i="97" s="1"/>
  <c r="F126" i="74" l="1"/>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<sst xmlns="http://schemas.openxmlformats.org/spreadsheetml/2006/main" count="19864" uniqueCount="7172">
  <si>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</si>
  <si>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</si>
  <si>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</si>
  <si>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</si>
  <si>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</si>
  <si>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</si>
  <si>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</si>
  <si>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</si>
  <si>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</si>
  <si>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</si>
  <si>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</si>
  <si>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</si>
  <si>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</si>
  <si>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</si>
  <si>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</si>
  <si>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</si>
  <si>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</si>
  <si>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</si>
  <si>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</si>
  <si>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</si>
  <si>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</si>
  <si>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</si>
  <si>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</si>
  <si>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</si>
  <si>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</si>
  <si>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</si>
  <si>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</si>
  <si>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</si>
  <si>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</si>
  <si>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</si>
  <si>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</si>
  <si>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</si>
  <si>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</si>
  <si>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</si>
  <si>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</si>
  <si>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</si>
  <si>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</si>
  <si>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</si>
  <si>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</si>
  <si>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</si>
  <si>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</si>
  <si>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</si>
  <si>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</si>
  <si>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</si>
  <si>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</si>
  <si>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</si>
  <si>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</si>
  <si>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</si>
  <si>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</si>
  <si>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</si>
  <si>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</si>
  <si>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</si>
  <si>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</si>
  <si>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</si>
  <si>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</si>
  <si>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</si>
  <si>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</si>
  <si>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</si>
  <si>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</si>
  <si>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</si>
  <si>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</si>
  <si>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</si>
  <si>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</si>
  <si>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</si>
  <si>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</si>
  <si>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</si>
  <si>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</si>
  <si>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</si>
  <si>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</si>
  <si>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</si>
  <si>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</si>
  <si>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</si>
  <si>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</si>
  <si>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</si>
  <si>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</si>
  <si>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</si>
  <si>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</si>
  <si>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</si>
  <si>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</si>
  <si>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</si>
  <si>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</si>
  <si>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</si>
  <si>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</si>
  <si>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</si>
  <si>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</si>
  <si>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</si>
  <si>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</si>
  <si>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</si>
  <si>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</si>
  <si>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</si>
  <si>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</si>
  <si>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</si>
  <si>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</si>
  <si>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</si>
  <si>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</si>
  <si>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</si>
  <si>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</si>
  <si>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</si>
  <si>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</si>
  <si>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</si>
  <si>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</si>
  <si>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</si>
  <si>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</si>
  <si>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</si>
  <si>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</si>
  <si>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</si>
  <si>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</si>
  <si>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</si>
  <si>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</si>
  <si>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</si>
  <si>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</si>
  <si>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</si>
  <si>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</si>
  <si>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</si>
  <si>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</si>
  <si>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</si>
  <si>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</si>
  <si>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</si>
  <si>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</si>
  <si>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</si>
  <si>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</si>
  <si>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</si>
  <si>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</si>
  <si>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</si>
  <si>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</si>
  <si>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</si>
  <si>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</si>
  <si>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</si>
  <si>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</si>
  <si>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</si>
  <si>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</si>
  <si>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</si>
  <si>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</si>
  <si>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</si>
  <si>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</si>
  <si>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</si>
  <si>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</si>
  <si>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</si>
  <si>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</si>
  <si>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</si>
  <si>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</si>
  <si>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</si>
  <si>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</si>
  <si>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</si>
  <si>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</si>
  <si>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</si>
  <si>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</si>
  <si>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</si>
  <si>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</si>
  <si>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</si>
  <si>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</si>
  <si>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</si>
  <si>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</si>
  <si>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</si>
  <si>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</si>
  <si>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</si>
  <si>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</si>
  <si>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</si>
  <si>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</si>
  <si>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</si>
  <si>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</si>
  <si>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</si>
  <si>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</si>
  <si>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</si>
  <si>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</si>
  <si>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</si>
  <si>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</si>
  <si>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</si>
  <si>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</si>
  <si>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</si>
  <si>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</si>
  <si>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</si>
  <si>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</si>
  <si>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</si>
  <si>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</si>
  <si>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</si>
  <si>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</si>
  <si>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</si>
  <si>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</si>
  <si>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</si>
  <si>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</si>
  <si>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</si>
  <si>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</si>
  <si>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</si>
  <si>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</si>
  <si>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</si>
  <si>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</si>
  <si>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</si>
  <si>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</si>
  <si>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</si>
  <si>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</si>
  <si>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</si>
  <si>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</si>
  <si>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</si>
  <si>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</si>
  <si>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</si>
  <si>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</si>
  <si>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</si>
  <si>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</si>
  <si>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</si>
  <si>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</si>
  <si>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</si>
  <si>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</si>
  <si>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</si>
  <si>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</si>
  <si>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</si>
  <si>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</si>
  <si>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</si>
  <si>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</si>
  <si>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</si>
  <si>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</si>
  <si>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</si>
  <si>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</si>
  <si>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</si>
  <si>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</si>
  <si>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</si>
  <si>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</si>
  <si>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</si>
  <si>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</si>
  <si>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</si>
  <si>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</si>
  <si>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</si>
  <si>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</si>
  <si>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</si>
  <si>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</si>
  <si>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</si>
  <si>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</si>
  <si>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</si>
  <si>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</si>
  <si>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</si>
  <si>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</si>
  <si>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</si>
  <si>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</si>
  <si>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</si>
  <si>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</si>
  <si>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</si>
  <si>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</si>
  <si>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</si>
  <si>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</si>
  <si>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</si>
  <si>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</si>
  <si>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</si>
  <si>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</si>
  <si>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</si>
  <si>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</si>
  <si>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</si>
  <si>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</si>
  <si>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</si>
  <si>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</si>
  <si>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</si>
  <si>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</si>
  <si>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</si>
  <si>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</si>
  <si>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</si>
  <si>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</si>
  <si>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</si>
  <si>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</si>
  <si>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</si>
  <si>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</si>
  <si>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</si>
  <si>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</si>
  <si>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</si>
  <si>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</si>
  <si>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</si>
  <si>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</si>
  <si>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</si>
  <si>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</si>
  <si>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</si>
  <si>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</si>
  <si>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</si>
  <si>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</si>
  <si>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</si>
  <si>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</si>
  <si>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</si>
  <si>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</si>
  <si>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</si>
  <si>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</si>
  <si>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</si>
  <si>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</si>
  <si>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</si>
  <si>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</si>
  <si>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</si>
  <si>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</si>
  <si>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</si>
  <si>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</si>
  <si>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</si>
  <si>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</si>
  <si>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</si>
  <si>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</si>
  <si>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</si>
  <si>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</si>
  <si>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</si>
  <si>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</si>
  <si>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</si>
  <si>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</si>
  <si>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</si>
  <si>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</si>
  <si>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</si>
  <si>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</si>
  <si>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</si>
  <si>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</si>
  <si>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</si>
  <si>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</si>
  <si>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</si>
  <si>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</si>
  <si>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</si>
  <si>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</si>
  <si>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</si>
  <si>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</si>
  <si>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</si>
  <si>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</si>
  <si>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</si>
  <si>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</si>
  <si>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</si>
  <si>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</si>
  <si>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</si>
  <si>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</si>
  <si>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</si>
  <si>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</si>
  <si>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</si>
  <si>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</si>
  <si>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</si>
  <si>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</si>
  <si>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</si>
  <si>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</si>
  <si>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</si>
  <si>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</si>
  <si>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</si>
  <si>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</si>
  <si>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</si>
  <si>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</si>
  <si>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</si>
  <si>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</si>
  <si>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</si>
  <si>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</si>
  <si>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</si>
  <si>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</si>
  <si>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</si>
  <si>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</si>
  <si>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</si>
  <si>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</si>
  <si>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</si>
  <si>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</si>
  <si>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</si>
  <si>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</si>
  <si>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</si>
  <si>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</si>
  <si>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</si>
  <si>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</si>
  <si>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</si>
  <si>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</si>
  <si>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</si>
  <si>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</si>
  <si>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</si>
  <si>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</si>
  <si>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</si>
  <si>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</si>
  <si>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</si>
  <si>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</si>
  <si>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</si>
  <si>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</si>
  <si>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</si>
  <si>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</si>
  <si>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</si>
  <si>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</si>
  <si>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</si>
  <si>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</si>
  <si>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</si>
  <si>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</si>
  <si>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</si>
  <si>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</si>
  <si>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</si>
  <si>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</si>
  <si>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</si>
  <si>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</si>
  <si>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</si>
  <si>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</si>
  <si>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</si>
  <si>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</si>
  <si>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</si>
  <si>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</si>
  <si>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</si>
  <si>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</si>
  <si>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</si>
  <si>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</si>
  <si>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</si>
  <si>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</si>
  <si>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</si>
  <si>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</si>
  <si>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</si>
  <si>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</si>
  <si>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</si>
  <si>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</si>
  <si>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</si>
  <si>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</si>
  <si>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</si>
  <si>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</si>
  <si>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</si>
  <si>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</si>
  <si>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</si>
  <si>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</si>
  <si>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</si>
  <si>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</si>
  <si>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</si>
  <si>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</si>
  <si>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</si>
  <si>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</si>
  <si>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</si>
  <si>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</si>
  <si>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</si>
  <si>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</si>
  <si>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</si>
  <si>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</si>
  <si>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</si>
  <si>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</si>
  <si>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</si>
  <si>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</si>
  <si>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</si>
  <si>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</si>
  <si>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</si>
  <si>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</si>
  <si>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</si>
  <si>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</si>
  <si>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</si>
  <si>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</si>
  <si>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</si>
  <si>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</si>
  <si>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</si>
  <si>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</si>
  <si>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</si>
  <si>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</si>
  <si>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</si>
  <si>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</si>
  <si>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</si>
  <si>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</si>
  <si>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</si>
  <si>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</si>
  <si>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</si>
  <si>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</si>
  <si>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</si>
  <si>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</si>
  <si>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</si>
  <si>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</si>
  <si>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</si>
  <si>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</si>
  <si>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</si>
  <si>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</si>
  <si>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</si>
  <si>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</si>
  <si>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</si>
  <si>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</si>
  <si>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</si>
  <si>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</si>
  <si>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</si>
  <si>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</si>
  <si>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</si>
  <si>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</si>
  <si>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</si>
  <si>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</si>
  <si>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</si>
  <si>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</si>
  <si>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</si>
  <si>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</si>
  <si>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</si>
  <si>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</si>
  <si>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</si>
  <si>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</si>
  <si>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</si>
  <si>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</si>
  <si>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</si>
  <si>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</si>
  <si>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</si>
  <si>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</si>
  <si>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</si>
  <si>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</si>
  <si>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</si>
  <si>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</si>
  <si>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</si>
  <si>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</si>
  <si>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</si>
  <si>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</si>
  <si>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</si>
  <si>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</si>
  <si>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</si>
  <si>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</si>
  <si>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</si>
  <si>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</si>
  <si>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</si>
  <si>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</si>
  <si>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</si>
  <si>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</si>
  <si>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</si>
  <si>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</si>
  <si>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</si>
  <si>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</si>
  <si>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</si>
  <si>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</si>
  <si>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</si>
  <si>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</si>
  <si>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</si>
  <si>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</si>
  <si>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</si>
  <si>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</si>
  <si>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</si>
  <si>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</si>
  <si>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</si>
  <si>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</si>
  <si>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</si>
  <si>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</si>
  <si>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</si>
  <si>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</si>
  <si>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</si>
  <si>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</si>
  <si>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</si>
  <si>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</si>
  <si>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</si>
  <si>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</si>
  <si>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</si>
  <si>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</si>
  <si>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</si>
  <si>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</si>
  <si>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</si>
  <si>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</si>
  <si>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</si>
  <si>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</si>
  <si>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</si>
  <si>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</si>
  <si>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</si>
  <si>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</si>
  <si>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</si>
  <si>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</si>
  <si>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</si>
  <si>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</si>
  <si>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</si>
  <si>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</si>
  <si>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</si>
  <si>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</si>
  <si>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</si>
  <si>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</si>
  <si>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</si>
  <si>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</si>
  <si>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</si>
  <si>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</si>
  <si>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</si>
  <si>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</si>
  <si>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</si>
  <si>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</si>
  <si>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</si>
  <si>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</si>
  <si>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</si>
  <si>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</si>
  <si>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</si>
  <si>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</si>
  <si>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</si>
  <si>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</si>
  <si>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</si>
  <si>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</si>
  <si>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</si>
  <si>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</si>
  <si>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</si>
  <si>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</si>
  <si>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</si>
  <si>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</si>
  <si>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</si>
  <si>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</si>
  <si>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</si>
  <si>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</si>
  <si>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</si>
  <si>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</si>
  <si>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</si>
  <si>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</si>
  <si>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</si>
  <si>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</si>
  <si>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</si>
  <si>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</si>
  <si>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</si>
  <si>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</si>
  <si>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</si>
  <si>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</si>
  <si>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</si>
  <si>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</si>
  <si>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</si>
  <si>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</si>
  <si>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</si>
  <si>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</si>
  <si>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</si>
  <si>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</si>
  <si>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</si>
  <si>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</si>
  <si>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</si>
  <si>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</si>
  <si>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</si>
  <si>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</si>
  <si>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</si>
  <si>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</si>
  <si>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</si>
  <si>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</si>
  <si>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</si>
  <si>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</si>
  <si>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</si>
  <si>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</si>
  <si>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</si>
  <si>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</si>
  <si>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</si>
  <si>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</si>
  <si>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</si>
  <si>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</si>
  <si>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</si>
  <si>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</si>
  <si>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</si>
  <si>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</si>
  <si>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</si>
  <si>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</si>
  <si>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</si>
  <si>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</si>
  <si>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</si>
  <si>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</si>
  <si>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</si>
  <si>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</si>
  <si>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</si>
  <si>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</si>
  <si>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</si>
  <si>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</si>
  <si>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</si>
  <si>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</si>
  <si>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</si>
  <si>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</si>
  <si>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</si>
  <si>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</si>
  <si>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</si>
  <si>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</si>
  <si>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</si>
  <si>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</si>
  <si>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</si>
  <si>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</si>
  <si>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</si>
  <si>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</si>
  <si>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</si>
  <si>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</si>
  <si>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</si>
  <si>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</si>
  <si>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</si>
  <si>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</si>
  <si>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</si>
  <si>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</si>
  <si>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</si>
  <si>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</si>
  <si>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</si>
  <si>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</si>
  <si>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</si>
  <si>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</si>
  <si>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</si>
  <si>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</si>
  <si>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</si>
  <si>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</si>
  <si>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</si>
  <si>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</si>
  <si>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</si>
  <si>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</si>
  <si>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</si>
  <si>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</si>
  <si>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</si>
  <si>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</si>
  <si>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</si>
  <si>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</si>
  <si>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</si>
  <si>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</si>
  <si>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</si>
  <si>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</si>
  <si>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</si>
  <si>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</si>
  <si>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</si>
  <si>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</si>
  <si>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</si>
  <si>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</si>
  <si>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</si>
  <si>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</si>
  <si>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</si>
  <si>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</si>
  <si>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</si>
  <si>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</si>
  <si>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</si>
  <si>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</si>
  <si>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</si>
  <si>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</si>
  <si>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</si>
  <si>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</si>
  <si>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</si>
  <si>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</si>
  <si>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</si>
  <si>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</si>
  <si>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</si>
  <si>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</si>
  <si>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</si>
  <si>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</si>
  <si>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</si>
  <si>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</si>
  <si>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</si>
  <si>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</si>
  <si>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</si>
  <si>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</si>
  <si>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</si>
  <si>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</si>
  <si>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</si>
  <si>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</si>
  <si>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</si>
  <si>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</si>
  <si>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</si>
  <si>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</si>
  <si>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</si>
  <si>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</si>
  <si>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</si>
  <si>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</si>
  <si>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</si>
  <si>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</si>
  <si>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</si>
  <si>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</si>
  <si>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</si>
  <si>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</si>
  <si>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</si>
  <si>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</si>
  <si>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</si>
  <si>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</si>
  <si>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</si>
  <si>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</si>
  <si>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</si>
  <si>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</si>
  <si>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</si>
  <si>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</si>
  <si>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</si>
  <si>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</si>
  <si>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</si>
  <si>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</si>
  <si>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</si>
  <si>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</si>
  <si>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</si>
  <si>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</si>
  <si>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</si>
  <si>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</si>
  <si>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</si>
  <si>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</si>
  <si>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</si>
  <si>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</si>
  <si>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</si>
  <si>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</si>
  <si>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</si>
  <si>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</si>
  <si>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</si>
  <si>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</si>
  <si>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</si>
  <si>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</si>
  <si>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</si>
  <si>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</si>
  <si>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</si>
  <si>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</si>
  <si>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</si>
  <si>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</si>
  <si>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</si>
  <si>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</si>
  <si>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</si>
  <si>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</si>
  <si>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</si>
  <si>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</si>
  <si>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</si>
  <si>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</si>
  <si>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</si>
  <si>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</si>
  <si>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</si>
  <si>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</si>
  <si>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</si>
  <si>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</si>
  <si>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</si>
  <si>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</si>
  <si>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</si>
  <si>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</si>
  <si>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</si>
  <si>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</si>
  <si>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</si>
  <si>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</si>
  <si>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</si>
  <si>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</si>
  <si>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</si>
  <si>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</si>
  <si>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</si>
  <si>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</si>
  <si>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</si>
  <si>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</si>
  <si>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</si>
  <si>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</si>
  <si>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</si>
  <si>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</si>
  <si>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</si>
  <si>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</si>
  <si>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</si>
  <si>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</si>
  <si>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</si>
  <si>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</si>
  <si>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</si>
  <si>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</si>
  <si>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</si>
  <si>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</si>
  <si>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</si>
  <si>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</si>
  <si>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</si>
  <si>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</si>
  <si>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</si>
  <si>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</si>
  <si>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</si>
  <si>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</si>
  <si>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</si>
  <si>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</si>
  <si>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</si>
  <si>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</si>
  <si>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</si>
  <si>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</si>
  <si>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</si>
  <si>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</si>
  <si>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</si>
  <si>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</si>
  <si>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</si>
  <si>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</si>
  <si>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</si>
  <si>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</si>
  <si>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</si>
  <si>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</si>
  <si>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</si>
  <si>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</si>
  <si>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</si>
  <si>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</si>
  <si>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</si>
  <si>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</si>
  <si>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</si>
  <si>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</si>
  <si>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</si>
  <si>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</si>
  <si>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</si>
  <si>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</si>
  <si>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</si>
  <si>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</si>
  <si>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</si>
  <si>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</si>
  <si>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</si>
  <si>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</si>
  <si>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</si>
  <si>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</si>
  <si>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</si>
  <si>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</si>
  <si>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</si>
  <si>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</si>
  <si>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</si>
  <si>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</si>
  <si>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</si>
  <si>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</si>
  <si>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</si>
  <si>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</si>
  <si>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</si>
  <si>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</si>
  <si>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</si>
  <si>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</si>
  <si>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</si>
  <si>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</si>
  <si>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</si>
  <si>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</si>
  <si>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</si>
  <si>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</si>
  <si>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</si>
  <si>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</si>
  <si>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</si>
  <si>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</si>
  <si>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</si>
  <si>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</si>
  <si>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</si>
  <si>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</si>
  <si>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</si>
  <si>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</si>
  <si>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</si>
  <si>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</si>
  <si>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</si>
  <si>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</si>
  <si>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</si>
  <si>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</si>
  <si>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</si>
  <si>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</si>
  <si>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</si>
  <si>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</si>
  <si>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</si>
  <si>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</si>
  <si>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</si>
  <si>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</si>
  <si>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</si>
  <si>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</si>
  <si>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</si>
  <si>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</si>
  <si>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</si>
  <si>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</si>
  <si>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</si>
  <si>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</si>
  <si>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</si>
  <si>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</si>
  <si>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</si>
  <si>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</si>
  <si>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</si>
  <si>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</si>
  <si>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</si>
  <si>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</si>
  <si>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</si>
  <si>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</si>
  <si>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</si>
  <si>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</si>
  <si>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</si>
  <si>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</si>
  <si>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</si>
  <si>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</si>
  <si>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</si>
  <si>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</si>
  <si>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</si>
  <si>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</si>
  <si>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</si>
  <si>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</si>
  <si>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</si>
  <si>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</si>
  <si>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</si>
  <si>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</si>
  <si>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</si>
  <si>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</si>
  <si>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</si>
  <si>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</si>
  <si>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</si>
  <si>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</si>
  <si>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</si>
  <si>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</si>
  <si>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</si>
  <si>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</si>
  <si>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</si>
  <si>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</si>
  <si>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</si>
  <si>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</si>
  <si>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</si>
  <si>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</si>
  <si>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</si>
  <si>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</si>
  <si>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</si>
  <si>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</si>
  <si>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</si>
  <si>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</si>
  <si>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</si>
  <si>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</si>
  <si>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</si>
  <si>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</si>
  <si>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</si>
  <si>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</si>
  <si>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</si>
  <si>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</si>
  <si>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</si>
  <si>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</si>
  <si>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</si>
  <si>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</si>
  <si>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</si>
  <si>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</si>
  <si>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</si>
  <si>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</si>
  <si>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</si>
  <si>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</si>
  <si>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</si>
  <si>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</si>
  <si>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</si>
  <si>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</si>
  <si>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</si>
  <si>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</si>
  <si>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</si>
  <si>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</si>
  <si>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</si>
  <si>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</si>
  <si>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</si>
  <si>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</si>
  <si>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</si>
  <si>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</si>
  <si>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</si>
  <si>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</si>
  <si>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</si>
  <si>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</si>
  <si>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</si>
  <si>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</si>
  <si>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</si>
  <si>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</si>
  <si>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</si>
  <si>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</si>
  <si>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</si>
  <si>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</si>
  <si>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</si>
  <si>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</si>
  <si>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</si>
  <si>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</si>
  <si>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</si>
  <si>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</si>
  <si>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</si>
  <si>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</si>
  <si>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</si>
  <si>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</si>
  <si>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</si>
  <si>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</si>
  <si>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</si>
  <si>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</si>
  <si>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</si>
  <si>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</si>
  <si>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</si>
  <si>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</si>
  <si>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</si>
  <si>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</si>
  <si>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</si>
  <si>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</si>
  <si>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</si>
  <si>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</si>
  <si>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</si>
  <si>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</si>
  <si>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</si>
  <si>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</si>
  <si>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</si>
  <si>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</si>
  <si>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</si>
  <si>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</si>
  <si>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</si>
  <si>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</si>
  <si>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</si>
  <si>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</si>
  <si>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</si>
  <si>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</si>
  <si>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</si>
  <si>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</si>
  <si>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</si>
  <si>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</si>
  <si>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</si>
  <si>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</si>
  <si>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</si>
  <si>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</si>
  <si>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</si>
  <si>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</si>
  <si>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</si>
  <si>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</si>
  <si>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</si>
  <si>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</si>
  <si>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</si>
  <si>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</si>
  <si>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</si>
  <si>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</si>
  <si>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</si>
  <si>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</si>
  <si>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</si>
  <si>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</si>
  <si>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</si>
  <si>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</si>
  <si>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</si>
  <si>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</si>
  <si>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</si>
  <si>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</si>
  <si>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</si>
  <si>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</si>
  <si>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</si>
  <si>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</si>
  <si>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</si>
  <si>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</si>
  <si>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</si>
  <si>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</si>
  <si>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</si>
  <si>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</si>
  <si>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</si>
  <si>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</si>
  <si>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</si>
  <si>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</si>
  <si>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</si>
  <si>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</si>
  <si>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</si>
  <si>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</si>
  <si>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</si>
  <si>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</si>
  <si>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</si>
  <si>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</si>
  <si>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</si>
  <si>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</si>
  <si>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</si>
  <si>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</si>
  <si>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</si>
  <si>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</si>
  <si>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</si>
  <si>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</si>
  <si>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</si>
  <si>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</si>
  <si>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</si>
  <si>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</si>
  <si>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</si>
  <si>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</si>
  <si>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</si>
  <si>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</si>
  <si>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</si>
  <si>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</si>
  <si>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</si>
  <si>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</si>
  <si>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</si>
  <si>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</si>
  <si>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</si>
  <si>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</si>
  <si>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</si>
  <si>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</si>
  <si>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</si>
  <si>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</si>
  <si>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</si>
  <si>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</si>
  <si>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</si>
  <si>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</si>
  <si>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</si>
  <si>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</si>
  <si>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</si>
  <si>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</si>
  <si>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</si>
  <si>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</si>
  <si>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</si>
  <si>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</si>
  <si>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</si>
  <si>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</si>
  <si>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</si>
  <si>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</si>
  <si>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</si>
  <si>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</si>
  <si>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</si>
  <si>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</si>
  <si>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</si>
  <si>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</si>
  <si>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</si>
  <si>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</si>
  <si>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</si>
  <si>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</si>
  <si>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</si>
  <si>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</si>
  <si>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</si>
  <si>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</si>
  <si>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</si>
  <si>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</si>
  <si>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</si>
  <si>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</si>
  <si>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</si>
  <si>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</si>
  <si>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</si>
  <si>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</si>
  <si>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</si>
  <si>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</si>
  <si>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</si>
  <si>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</si>
  <si>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</si>
  <si>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</si>
  <si>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</si>
  <si>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</si>
  <si>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</si>
  <si>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</si>
  <si>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</si>
  <si>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</si>
  <si>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</si>
  <si>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</si>
  <si>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</si>
  <si>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</si>
  <si>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</si>
  <si>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</si>
  <si>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</si>
  <si>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</si>
  <si>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</si>
  <si>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</si>
  <si>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</si>
  <si>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</si>
  <si>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</si>
  <si>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</si>
  <si>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</si>
  <si>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</si>
  <si>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</si>
  <si>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</si>
  <si>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</si>
  <si>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</si>
  <si>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</si>
  <si>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</si>
  <si>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</si>
  <si>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</si>
  <si>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</si>
  <si>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</si>
  <si>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</si>
  <si>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</si>
  <si>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</si>
  <si>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</si>
  <si>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</si>
  <si>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</si>
  <si>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</si>
  <si>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</si>
  <si>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</si>
  <si>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</si>
  <si>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</si>
  <si>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</si>
  <si>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</si>
  <si>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</si>
  <si>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</si>
  <si>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</si>
  <si>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</si>
  <si>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</si>
  <si>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</si>
  <si>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</si>
  <si>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</si>
  <si>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</si>
  <si>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</si>
  <si>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</si>
  <si>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</si>
  <si>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</si>
  <si>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</si>
  <si>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</si>
  <si>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</si>
  <si>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</si>
  <si>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</si>
  <si>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</si>
  <si>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</si>
  <si>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</si>
  <si>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</si>
  <si>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</si>
  <si>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</si>
  <si>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</si>
  <si>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</si>
  <si>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</si>
  <si>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</si>
  <si>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</si>
  <si>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</si>
  <si>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</si>
  <si>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</si>
  <si>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</si>
  <si>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</si>
  <si>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</si>
  <si>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</si>
  <si>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</si>
  <si>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</si>
  <si>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</si>
  <si>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</si>
  <si>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</si>
  <si>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</si>
  <si>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</si>
  <si>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</si>
  <si>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</si>
  <si>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</si>
  <si>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</si>
  <si>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</si>
  <si>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</si>
  <si>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</si>
  <si>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</si>
  <si>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</si>
  <si>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</si>
  <si>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</si>
  <si>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</si>
  <si>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</si>
  <si>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</si>
  <si>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</si>
  <si>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</si>
  <si>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</si>
  <si>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</si>
  <si>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</si>
  <si>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</si>
  <si>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</si>
  <si>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</si>
  <si>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</si>
  <si>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</si>
  <si>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</si>
  <si>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</si>
  <si>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</si>
  <si>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</si>
  <si>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</si>
  <si>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</si>
  <si>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</si>
  <si>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</si>
  <si>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</si>
  <si>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</si>
  <si>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</si>
  <si>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</si>
  <si>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</si>
  <si>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</si>
  <si>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</si>
  <si>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</si>
  <si>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</si>
  <si>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</si>
  <si>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</si>
  <si>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</si>
  <si>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</si>
  <si>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</si>
  <si>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</si>
  <si>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</si>
  <si>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</si>
  <si>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</si>
  <si>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</si>
  <si>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</si>
  <si>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</si>
  <si>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</si>
  <si>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</si>
  <si>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</si>
  <si>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</si>
  <si>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</si>
  <si>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</si>
  <si>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</si>
  <si>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</si>
  <si>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</si>
  <si>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</si>
  <si>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</si>
  <si>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</si>
  <si>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</si>
  <si>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</si>
  <si>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</si>
  <si>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</si>
  <si>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</si>
  <si>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</si>
  <si>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</si>
  <si>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</si>
  <si>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</si>
  <si>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</si>
  <si>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</si>
  <si>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</si>
  <si>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</si>
  <si>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</si>
  <si>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</si>
  <si>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</si>
  <si>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</si>
  <si>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</si>
  <si>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</si>
  <si>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</si>
  <si>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</si>
  <si>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</si>
  <si>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</si>
  <si>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</si>
  <si>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</si>
  <si>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</si>
  <si>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</si>
  <si>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</si>
  <si>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</si>
  <si>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</si>
  <si>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</si>
  <si>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</si>
  <si>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</si>
  <si>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</si>
  <si>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</si>
  <si>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</si>
  <si>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</si>
  <si>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</si>
  <si>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</si>
  <si>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</si>
  <si>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</si>
  <si>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</si>
  <si>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</si>
  <si>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</si>
  <si>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</si>
  <si>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</si>
  <si>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</si>
  <si>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</si>
  <si>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</si>
  <si>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</si>
  <si>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</si>
  <si>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</si>
  <si>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</si>
  <si>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</si>
  <si>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</si>
  <si>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</si>
  <si>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</si>
  <si>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</si>
  <si>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</si>
  <si>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</si>
  <si>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</si>
  <si>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</si>
  <si>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</si>
  <si>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</si>
  <si>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</si>
  <si>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</si>
  <si>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</si>
  <si>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</si>
  <si>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</si>
  <si>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</si>
  <si>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</si>
  <si>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</si>
  <si>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</si>
  <si>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</si>
  <si>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</si>
  <si>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</si>
  <si>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</si>
  <si>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</si>
  <si>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</si>
  <si>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</si>
  <si>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</si>
  <si>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</si>
  <si>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</si>
  <si>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</si>
  <si>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</si>
  <si>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</si>
  <si>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</si>
  <si>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</si>
  <si>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</si>
  <si>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</si>
  <si>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</si>
  <si>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</si>
  <si>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</si>
  <si>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</si>
  <si>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</si>
  <si>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</si>
  <si>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</si>
  <si>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</si>
  <si>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</si>
  <si>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</si>
  <si>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</si>
  <si>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</si>
  <si>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</si>
  <si>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</si>
  <si>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</si>
  <si>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</si>
  <si>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</si>
  <si>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</si>
  <si>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</si>
  <si>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</si>
  <si>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</si>
  <si>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</si>
  <si>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</si>
  <si>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</si>
  <si>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</si>
  <si>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</si>
  <si>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</si>
  <si>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</si>
  <si>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</si>
  <si>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</si>
  <si>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</si>
  <si>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</si>
  <si>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</si>
  <si>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</si>
  <si>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</si>
  <si>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</si>
  <si>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</si>
  <si>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</si>
  <si>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</si>
  <si>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</si>
  <si>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</si>
  <si>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</si>
  <si>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</si>
  <si>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</si>
  <si>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</si>
  <si>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</si>
  <si>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</si>
  <si>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</si>
  <si>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</si>
  <si>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</si>
  <si>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</si>
  <si>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</si>
  <si>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</si>
  <si>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</si>
  <si>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</si>
  <si>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</si>
  <si>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</si>
  <si>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</si>
  <si>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</si>
  <si>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</si>
  <si>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</si>
  <si>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</si>
  <si>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</si>
  <si>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</si>
  <si>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</si>
  <si>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</si>
  <si>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</si>
  <si>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</si>
  <si>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</si>
  <si>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</si>
  <si>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</si>
  <si>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</si>
  <si>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</si>
  <si>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</si>
  <si>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</si>
  <si>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</si>
  <si>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</si>
  <si>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</si>
  <si>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</si>
  <si>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</si>
  <si>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</si>
  <si>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</si>
  <si>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</si>
  <si>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</si>
  <si>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</si>
  <si>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</si>
  <si>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</si>
  <si>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</si>
  <si>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</si>
  <si>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</si>
  <si>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</si>
  <si>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</si>
  <si>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</si>
  <si>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</si>
  <si>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</si>
  <si>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</si>
  <si>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</si>
  <si>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</si>
  <si>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</si>
  <si>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</si>
  <si>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</si>
  <si>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</si>
  <si>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</si>
  <si>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</si>
  <si>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</si>
  <si>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</si>
  <si>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</si>
  <si>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</si>
  <si>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</si>
  <si>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</si>
  <si>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</si>
  <si>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</si>
  <si>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</si>
  <si>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</si>
  <si>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</si>
  <si>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</si>
  <si>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</si>
  <si>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</si>
  <si>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</si>
  <si>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</si>
  <si>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</si>
  <si>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</si>
  <si>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</si>
  <si>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</si>
  <si>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</si>
  <si>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</si>
  <si>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</si>
  <si>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</si>
  <si>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</si>
  <si>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</si>
  <si>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</si>
  <si>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</si>
  <si>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</si>
  <si>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</si>
  <si>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</si>
  <si>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</si>
  <si>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</si>
  <si>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</si>
  <si>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</si>
  <si>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</si>
  <si>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</si>
  <si>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</si>
  <si>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</si>
  <si>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</si>
  <si>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</si>
  <si>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</si>
  <si>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</si>
  <si>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</si>
  <si>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</si>
  <si>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</si>
  <si>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</si>
  <si>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</si>
  <si>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</si>
  <si>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</si>
  <si>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</si>
  <si>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</si>
  <si>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</si>
  <si>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</si>
  <si>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</si>
  <si>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</si>
  <si>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</si>
  <si>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</si>
  <si>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</si>
  <si>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</si>
  <si>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</si>
  <si>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</si>
  <si>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</si>
  <si>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</si>
  <si>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</si>
  <si>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</si>
  <si>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</si>
  <si>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</si>
  <si>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</si>
  <si>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</si>
  <si>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</si>
  <si>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</si>
  <si>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</si>
  <si>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</si>
  <si>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</si>
  <si>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</si>
  <si>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</si>
  <si>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</si>
  <si>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</si>
  <si>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</si>
  <si>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</si>
  <si>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</si>
  <si>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</si>
  <si>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</si>
  <si>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</si>
  <si>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</si>
  <si>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</si>
  <si>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</si>
  <si>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</si>
  <si>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</si>
  <si>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</si>
  <si>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</si>
  <si>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</si>
  <si>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</si>
  <si>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</si>
  <si>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</si>
  <si>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</si>
  <si>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</si>
  <si>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</si>
  <si>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</si>
  <si>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</si>
  <si>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</si>
  <si>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</si>
  <si>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</si>
  <si>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</si>
  <si>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</si>
  <si>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</si>
  <si>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</si>
  <si>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</si>
  <si>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</si>
  <si>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</si>
  <si>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</si>
  <si>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</si>
  <si>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</si>
  <si>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</si>
  <si>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</si>
  <si>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</si>
  <si>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</si>
  <si>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</si>
  <si>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</si>
  <si>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</si>
  <si>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</si>
  <si>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</si>
  <si>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</si>
  <si>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</si>
  <si>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</si>
  <si>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</si>
  <si>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</si>
  <si>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</si>
  <si>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</si>
  <si>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</si>
  <si>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</si>
  <si>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</si>
  <si>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</si>
  <si>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</si>
  <si>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</si>
  <si>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</si>
  <si>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</si>
  <si>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</si>
  <si>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</si>
  <si>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</si>
  <si>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</si>
  <si>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</si>
  <si>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</si>
  <si>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</si>
  <si>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</si>
  <si>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</si>
  <si>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</si>
  <si>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</si>
  <si>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</si>
  <si>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</si>
  <si>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</si>
  <si>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</si>
  <si>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</si>
  <si>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</si>
  <si>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</si>
  <si>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</si>
  <si>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</si>
  <si>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</si>
  <si>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</si>
  <si>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</si>
  <si>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</si>
  <si>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</si>
  <si>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</si>
  <si>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</si>
  <si>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</si>
  <si>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</si>
  <si>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</si>
  <si>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</si>
  <si>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</si>
  <si>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</si>
  <si>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</si>
  <si>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</si>
  <si>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</si>
  <si>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</si>
  <si>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</si>
  <si>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</si>
  <si>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</si>
  <si>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</si>
  <si>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</si>
  <si>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</si>
  <si>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</si>
  <si>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</si>
  <si>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</si>
  <si>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</si>
  <si>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</si>
  <si>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</si>
  <si>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</si>
  <si>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</si>
  <si>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</si>
  <si>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</si>
  <si>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</si>
  <si>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</si>
  <si>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</si>
  <si>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</si>
  <si>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</si>
  <si>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</si>
  <si>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</si>
  <si>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</si>
  <si>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</si>
  <si>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</si>
  <si>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</si>
  <si>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</si>
  <si>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</si>
  <si>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</si>
  <si>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</si>
  <si>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</si>
  <si>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</si>
  <si>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</si>
  <si>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</si>
  <si>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</si>
  <si>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</si>
  <si>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</si>
  <si>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</si>
  <si>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</si>
  <si>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</si>
  <si>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</si>
  <si>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</si>
  <si>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</si>
  <si>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</si>
  <si>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</si>
  <si>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</si>
  <si>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</si>
  <si>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</si>
  <si>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</si>
  <si>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</si>
  <si>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</si>
  <si>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</si>
  <si>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</si>
  <si>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</si>
  <si>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</si>
  <si>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</si>
  <si>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</si>
  <si>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</si>
  <si>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</si>
  <si>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</si>
  <si>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</si>
  <si>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</si>
  <si>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</si>
  <si>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</si>
  <si>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</si>
  <si>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</si>
  <si>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</si>
  <si>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</si>
  <si>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</si>
  <si>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</si>
  <si>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</si>
  <si>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</si>
  <si>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</si>
  <si>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</si>
  <si>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</si>
  <si>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</si>
  <si>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</si>
  <si>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</si>
  <si>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</si>
  <si>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</si>
  <si>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</si>
  <si>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</si>
  <si>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</si>
  <si>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</si>
  <si>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</si>
  <si>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</si>
  <si>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</si>
  <si>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</si>
  <si>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</si>
  <si>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</si>
  <si>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</si>
  <si>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</si>
  <si>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</si>
  <si>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</si>
  <si>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</si>
  <si>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</si>
  <si>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</si>
  <si>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</si>
  <si>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</si>
  <si>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</si>
  <si>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</si>
  <si>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</si>
  <si>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</si>
  <si>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</si>
  <si>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</si>
  <si>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</si>
  <si>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</si>
  <si>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</si>
  <si>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</si>
  <si>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</si>
  <si>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</si>
  <si>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</si>
  <si>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</si>
  <si>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</si>
  <si>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</si>
  <si>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</si>
  <si>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</si>
  <si>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</si>
  <si>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</si>
  <si>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</si>
  <si>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</si>
  <si>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</si>
  <si>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</si>
  <si>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</si>
  <si>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</si>
  <si>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</si>
  <si>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</si>
  <si>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</si>
  <si>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</si>
  <si>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</si>
  <si>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</si>
  <si>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</si>
  <si>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</si>
  <si>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</si>
  <si>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</si>
  <si>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</si>
  <si>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</si>
  <si>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</si>
  <si>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</si>
  <si>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</si>
  <si>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</si>
  <si>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</si>
  <si>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</si>
  <si>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</si>
  <si>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</si>
  <si>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</si>
  <si>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</si>
  <si>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</si>
  <si>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</si>
  <si>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</si>
  <si>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</si>
  <si>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</si>
  <si>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</si>
  <si>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</si>
  <si>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</si>
  <si>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</si>
  <si>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</si>
  <si>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</si>
  <si>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</si>
  <si>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</si>
  <si>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</si>
  <si>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</si>
  <si>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</si>
  <si>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</si>
  <si>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</si>
  <si>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</si>
  <si>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</si>
  <si>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</si>
  <si>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</si>
  <si>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</si>
  <si>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</si>
  <si>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</si>
  <si>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</si>
  <si>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</si>
  <si>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</si>
  <si>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</si>
  <si>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</si>
  <si>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</si>
  <si>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</si>
  <si>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</si>
  <si>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</si>
  <si>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</si>
  <si>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</si>
  <si>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</si>
  <si>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</si>
  <si>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</si>
  <si>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</si>
  <si>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</si>
  <si>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</si>
  <si>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</si>
  <si>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</si>
  <si>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</si>
  <si>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</si>
  <si>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</si>
  <si>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</si>
  <si>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</si>
  <si>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</si>
  <si>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</si>
  <si>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</si>
  <si>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</si>
  <si>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</si>
  <si>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</si>
  <si>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</si>
  <si>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</si>
  <si>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</si>
  <si>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</si>
  <si>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</si>
  <si>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</si>
  <si>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</si>
  <si>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</si>
  <si>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</si>
  <si>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</si>
  <si>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</si>
  <si>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</si>
  <si>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</si>
  <si>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</si>
  <si>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</si>
  <si>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</si>
  <si>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</si>
  <si>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</si>
  <si>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</si>
  <si>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</si>
  <si>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</si>
  <si>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</si>
  <si>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</si>
  <si>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</si>
  <si>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</si>
  <si>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</si>
  <si>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</si>
  <si>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</si>
  <si>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</si>
  <si>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</si>
  <si>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</si>
  <si>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</si>
  <si>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</si>
  <si>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</si>
  <si>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</si>
  <si>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</si>
  <si>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</si>
  <si>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</si>
  <si>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</si>
  <si>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</si>
  <si>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</si>
  <si>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</si>
  <si>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</si>
  <si>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</si>
  <si>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</si>
  <si>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</si>
  <si>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</si>
  <si>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</si>
  <si>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</si>
  <si>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</si>
  <si>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</si>
  <si>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</si>
  <si>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</si>
  <si>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</si>
  <si>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</si>
  <si>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</si>
  <si>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</si>
  <si>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</si>
  <si>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</si>
  <si>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</si>
  <si>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</si>
  <si>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</si>
  <si>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</si>
  <si>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</si>
  <si>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</si>
  <si>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</si>
  <si>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</si>
  <si>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</si>
  <si>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</si>
  <si>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</si>
  <si>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</si>
  <si>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</si>
  <si>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</si>
  <si>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</si>
  <si>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</si>
  <si>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</si>
  <si>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</si>
  <si>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</si>
  <si>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</si>
  <si>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</si>
  <si>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</si>
  <si>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</si>
  <si>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</si>
  <si>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</si>
  <si>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</si>
  <si>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</si>
  <si>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</si>
  <si>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</si>
  <si>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</si>
  <si>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</si>
  <si>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</si>
  <si>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</si>
  <si>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</si>
  <si>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</si>
  <si>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</si>
  <si>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</si>
  <si>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</si>
  <si>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</si>
  <si>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</si>
  <si>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</si>
  <si>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</si>
  <si>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</si>
  <si>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</si>
  <si>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</si>
  <si>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</si>
  <si>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</si>
  <si>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</si>
  <si>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</si>
  <si>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</si>
  <si>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</si>
  <si>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</si>
  <si>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</si>
  <si>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</si>
  <si>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</si>
  <si>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</si>
  <si>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</si>
  <si>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</si>
  <si>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</si>
  <si>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</si>
  <si>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</si>
  <si>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</si>
  <si>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</si>
  <si>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</si>
  <si>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</si>
  <si>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</si>
  <si>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</si>
  <si>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</si>
  <si>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</si>
  <si>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</si>
  <si>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</si>
  <si>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</si>
  <si>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</si>
  <si>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</si>
  <si>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</si>
  <si>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</si>
  <si>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</si>
  <si>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</si>
  <si>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</si>
  <si>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</si>
  <si>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</si>
  <si>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</si>
  <si>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</si>
  <si>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</si>
  <si>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</si>
  <si>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</si>
  <si>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</si>
  <si>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</si>
  <si>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</si>
  <si>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</si>
  <si>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</si>
  <si>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</si>
  <si>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</si>
  <si>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</si>
  <si>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</si>
  <si>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</si>
  <si>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</si>
  <si>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</si>
  <si>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</si>
  <si>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</si>
  <si>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</si>
  <si>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</si>
  <si>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</si>
  <si>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</si>
  <si>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</si>
  <si>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</si>
  <si>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</si>
  <si>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</si>
  <si>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</si>
  <si>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</si>
  <si>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</si>
  <si>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</si>
  <si>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</si>
  <si>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</si>
  <si>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</si>
  <si>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</si>
  <si>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</si>
  <si>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</si>
  <si>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</si>
  <si>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</si>
  <si>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</si>
  <si>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</si>
  <si>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</si>
  <si>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</si>
  <si>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</si>
  <si>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</si>
  <si>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</si>
  <si>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</si>
  <si>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</si>
  <si>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</si>
  <si>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</si>
  <si>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</si>
  <si>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</si>
  <si>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</si>
  <si>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</si>
  <si>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</si>
  <si>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</si>
  <si>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</si>
  <si>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</si>
  <si>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</si>
  <si>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</si>
  <si>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</si>
  <si>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</si>
  <si>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</si>
  <si>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</si>
  <si>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</si>
  <si>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</si>
  <si>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</si>
  <si>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</si>
  <si>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</si>
  <si>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</si>
  <si>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</si>
  <si>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</si>
  <si>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</si>
  <si>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</si>
  <si>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</si>
  <si>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</si>
  <si>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</si>
  <si>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</si>
  <si>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</si>
  <si>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</si>
  <si>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</si>
  <si>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</si>
  <si>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</si>
  <si>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</si>
  <si>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</si>
  <si>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</si>
  <si>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</si>
  <si>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</si>
  <si>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</si>
  <si>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</si>
  <si>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</si>
  <si>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</si>
  <si>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</si>
  <si>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</si>
  <si>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</si>
  <si>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</si>
  <si>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</si>
  <si>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</si>
  <si>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</si>
  <si>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</si>
  <si>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</si>
  <si>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</si>
  <si>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</si>
  <si>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</si>
  <si>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</si>
  <si>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</si>
  <si>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</si>
  <si>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</si>
  <si>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</si>
  <si>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</si>
  <si>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</si>
  <si>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</si>
  <si>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</si>
  <si>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</si>
  <si>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</si>
  <si>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</si>
  <si>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</si>
  <si>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</si>
  <si>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</si>
  <si>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</si>
  <si>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</si>
  <si>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</si>
  <si>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</si>
  <si>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</si>
  <si>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</si>
  <si>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</si>
  <si>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</si>
  <si>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</si>
  <si>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</si>
  <si>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</si>
  <si>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</si>
  <si>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</si>
  <si>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</si>
  <si>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</si>
  <si>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</si>
  <si>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</si>
  <si>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</si>
  <si>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</si>
  <si>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</si>
  <si>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</si>
  <si>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</si>
  <si>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</si>
  <si>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</si>
  <si>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</si>
  <si>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</si>
  <si>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</si>
  <si>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</si>
  <si>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</si>
  <si>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</si>
  <si>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</si>
  <si>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</si>
  <si>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</si>
  <si>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</si>
  <si>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</si>
  <si>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</si>
  <si>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</si>
  <si>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</si>
  <si>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</si>
  <si>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</si>
  <si>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</si>
  <si>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</si>
  <si>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</si>
  <si>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</si>
  <si>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</si>
  <si>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</si>
  <si>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</si>
  <si>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</si>
  <si>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</si>
  <si>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</si>
  <si>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</si>
  <si>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</si>
  <si>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</si>
  <si>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</si>
  <si>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</si>
  <si>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</si>
  <si>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</si>
  <si>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</si>
  <si>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</si>
  <si>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</si>
  <si>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</si>
  <si>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</si>
  <si>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</si>
  <si>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</si>
  <si>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</si>
  <si>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</si>
  <si>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</si>
  <si>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</si>
  <si>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</si>
  <si>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</si>
  <si>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</si>
  <si>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</si>
  <si>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</si>
  <si>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</si>
  <si>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</si>
  <si>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</si>
  <si>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</si>
  <si>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</si>
  <si>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</si>
  <si>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</si>
  <si>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</si>
  <si>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</si>
  <si>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</si>
  <si>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</si>
  <si>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</si>
  <si>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</si>
  <si>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</si>
  <si>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</si>
  <si>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</si>
  <si>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</si>
  <si>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</si>
  <si>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</si>
  <si>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</si>
  <si>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</si>
  <si>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</si>
  <si>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</si>
  <si>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</si>
  <si>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</si>
  <si>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</si>
  <si>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</si>
  <si>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</si>
  <si>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</si>
  <si>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</si>
  <si>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</si>
  <si>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</si>
  <si>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</si>
  <si>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</si>
  <si>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</si>
  <si>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</si>
  <si>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</si>
  <si>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</si>
  <si>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</si>
  <si>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</si>
  <si>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</si>
  <si>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</si>
  <si>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</si>
  <si>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</si>
  <si>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</si>
  <si>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</si>
  <si>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</si>
  <si>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</si>
  <si>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</si>
  <si>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</si>
  <si>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</si>
  <si>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</si>
  <si>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</si>
  <si>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</si>
  <si>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</si>
  <si>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</si>
  <si>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</si>
  <si>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</si>
  <si>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</si>
  <si>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</si>
  <si>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</si>
  <si>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</si>
  <si>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</si>
  <si>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</si>
  <si>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</si>
  <si>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</si>
  <si>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</si>
  <si>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</si>
  <si>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</si>
  <si>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</si>
  <si>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</si>
  <si>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</si>
  <si>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</si>
  <si>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</si>
  <si>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</si>
  <si>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</si>
  <si>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</si>
  <si>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</si>
  <si>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</si>
  <si>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</si>
  <si>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</si>
  <si>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</si>
  <si>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</si>
  <si>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</si>
  <si>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</si>
  <si>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</si>
  <si>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</si>
  <si>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</si>
  <si>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</si>
  <si>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</si>
  <si>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</si>
  <si>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</si>
  <si>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</si>
  <si>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</si>
  <si>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</si>
  <si>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</si>
  <si>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</si>
  <si>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</si>
  <si>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</si>
  <si>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</si>
  <si>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</si>
  <si>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</si>
  <si>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</si>
  <si>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</si>
  <si>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</si>
  <si>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</si>
  <si>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</si>
  <si>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</si>
  <si>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</si>
  <si>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</si>
  <si>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</si>
  <si>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</si>
  <si>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</si>
  <si>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</si>
  <si>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</si>
  <si>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</si>
  <si>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</si>
  <si>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</si>
  <si>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</si>
  <si>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</si>
  <si>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</si>
  <si>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</si>
  <si>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</si>
  <si>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</si>
  <si>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</si>
  <si>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</si>
  <si>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</si>
  <si>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</si>
  <si>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</si>
  <si>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</si>
  <si>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</si>
  <si>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</si>
  <si>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</si>
  <si>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</si>
  <si>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</si>
  <si>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</si>
  <si>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</si>
  <si>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</si>
  <si>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</si>
  <si>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</si>
  <si>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</si>
  <si>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</si>
  <si>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</si>
  <si>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</si>
  <si>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</si>
  <si>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</si>
  <si>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</si>
  <si>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</si>
  <si>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</si>
  <si>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</si>
  <si>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</si>
  <si>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</si>
  <si>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</si>
  <si>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</si>
  <si>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</si>
  <si>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</si>
  <si>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</si>
  <si>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</si>
  <si>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</si>
  <si>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</si>
  <si>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</si>
  <si>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</si>
  <si>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</si>
  <si>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</si>
  <si>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</si>
  <si>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</si>
  <si>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</si>
  <si>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</si>
  <si>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</si>
  <si>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</si>
  <si>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</si>
  <si>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</si>
  <si>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</si>
  <si>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</si>
  <si>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</si>
  <si>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</si>
  <si>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</si>
  <si>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</si>
  <si>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</si>
  <si>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</si>
  <si>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</si>
  <si>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</si>
  <si>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</si>
  <si>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</si>
  <si>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</si>
  <si>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</si>
  <si>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</si>
  <si>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</si>
  <si>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</si>
  <si>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</si>
  <si>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</si>
  <si>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</si>
  <si>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</si>
  <si>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</si>
  <si>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</si>
  <si>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</si>
  <si>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</si>
  <si>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</si>
  <si>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</si>
  <si>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</si>
  <si>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</si>
  <si>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</si>
  <si>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</si>
  <si>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</si>
  <si>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</si>
  <si>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</si>
  <si>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</si>
  <si>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</si>
  <si>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</si>
  <si>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</si>
  <si>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</si>
  <si>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</si>
  <si>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</si>
  <si>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</si>
  <si>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</si>
  <si>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</si>
  <si>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</si>
  <si>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</si>
  <si>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</si>
  <si>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</si>
  <si>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</si>
  <si>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</si>
  <si>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</si>
  <si>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</si>
  <si>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</si>
  <si>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</si>
  <si>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</si>
  <si>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</si>
  <si>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</si>
  <si>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</si>
  <si>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</si>
  <si>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</si>
  <si>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</si>
  <si>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</si>
  <si>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</si>
  <si>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</si>
  <si>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</si>
  <si>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</si>
  <si>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</si>
  <si>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</si>
  <si>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</si>
  <si>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</si>
  <si>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</si>
  <si>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</si>
  <si>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</si>
  <si>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</si>
  <si>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</si>
  <si>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</si>
  <si>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</si>
  <si>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</si>
  <si>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</si>
  <si>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</si>
  <si>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</si>
  <si>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</si>
  <si>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</si>
  <si>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</si>
  <si>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</si>
  <si>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</si>
  <si>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</si>
  <si>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</si>
  <si>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</si>
  <si>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</si>
  <si>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</si>
  <si>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</si>
  <si>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</si>
  <si>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</si>
  <si>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</si>
  <si>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</si>
  <si>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</si>
  <si>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</si>
  <si>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</si>
  <si>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</si>
  <si>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</si>
  <si>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</si>
  <si>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</si>
  <si>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</si>
  <si>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</si>
  <si>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</si>
  <si>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</si>
  <si>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</si>
  <si>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</si>
  <si>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</si>
  <si>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</si>
  <si>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</si>
  <si>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</si>
  <si>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</si>
  <si>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</si>
  <si>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</si>
  <si>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</si>
  <si>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</si>
  <si>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</si>
  <si>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</si>
  <si>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</si>
  <si>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</si>
  <si>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</si>
  <si>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</si>
  <si>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</si>
  <si>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</si>
  <si>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</si>
  <si>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</si>
  <si>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</si>
  <si>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</si>
  <si>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</si>
  <si>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</si>
  <si>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</si>
  <si>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</si>
  <si>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</si>
  <si>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</si>
  <si>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</si>
  <si>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</si>
  <si>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</si>
  <si>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</si>
  <si>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</si>
  <si>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</si>
  <si>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</si>
  <si>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</si>
  <si>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</si>
  <si>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</si>
  <si>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</si>
  <si>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</si>
  <si>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</si>
  <si>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</si>
  <si>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</si>
  <si>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</si>
  <si>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</si>
  <si>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</si>
  <si>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</si>
  <si>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</si>
  <si>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</si>
  <si>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</si>
  <si>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</si>
  <si>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</si>
  <si>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</si>
  <si>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</si>
  <si>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</si>
  <si>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</si>
  <si>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</si>
  <si>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</si>
  <si>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</si>
  <si>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</si>
  <si>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</si>
  <si>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</si>
  <si>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</si>
  <si>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</si>
  <si>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</si>
  <si>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</si>
  <si>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</si>
  <si>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</si>
  <si>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</si>
  <si>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</si>
  <si>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</si>
  <si>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</si>
  <si>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</si>
  <si>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</si>
  <si>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</si>
  <si>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</si>
  <si>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</si>
  <si>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</si>
  <si>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</si>
  <si>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</si>
  <si>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</si>
  <si>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</si>
  <si>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</si>
  <si>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</si>
  <si>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</si>
  <si>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</si>
  <si>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</si>
  <si>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</si>
  <si>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</si>
  <si>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</si>
  <si>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</si>
  <si>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</si>
  <si>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</si>
  <si>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</si>
  <si>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</si>
  <si>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</si>
  <si>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</si>
  <si>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</si>
  <si>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</si>
  <si>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</si>
  <si>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</si>
  <si>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</si>
  <si>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</si>
  <si>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</si>
  <si>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</si>
  <si>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</si>
  <si>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</si>
  <si>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</si>
  <si>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</si>
  <si>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</si>
  <si>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</si>
  <si>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</si>
  <si>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</si>
  <si>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</si>
  <si>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</si>
  <si>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</si>
  <si>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</si>
  <si>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</si>
  <si>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</si>
  <si>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</si>
  <si>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</si>
  <si>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</si>
  <si>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</si>
  <si>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</si>
  <si>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</si>
  <si>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</si>
  <si>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</si>
  <si>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</si>
  <si>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</si>
  <si>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</si>
  <si>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</si>
  <si>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</si>
  <si>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</si>
  <si>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</si>
  <si>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</si>
  <si>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</si>
  <si>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</si>
  <si>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</si>
  <si>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</si>
  <si>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</si>
  <si>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</si>
  <si>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</si>
  <si>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</si>
  <si>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</si>
  <si>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</si>
  <si>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</si>
  <si>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</si>
  <si>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</si>
  <si>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</si>
  <si>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</si>
  <si>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</si>
  <si>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</si>
  <si>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</si>
  <si>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</si>
  <si>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</si>
  <si>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</si>
  <si>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</si>
  <si>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</si>
  <si>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</si>
  <si>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</si>
  <si>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</si>
  <si>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</si>
  <si>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</si>
  <si>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</si>
  <si>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</si>
  <si>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</si>
  <si>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</si>
  <si>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</si>
  <si>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</si>
  <si>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</si>
  <si>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</si>
  <si>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</si>
  <si>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</si>
  <si>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</si>
  <si>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</si>
  <si>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</si>
  <si>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</si>
  <si>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</si>
  <si>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</si>
  <si>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</si>
  <si>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</si>
  <si>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</si>
  <si>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</si>
  <si>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</si>
  <si>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</si>
  <si>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</si>
  <si>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</si>
  <si>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</si>
  <si>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</si>
  <si>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</si>
  <si>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</si>
  <si>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</si>
  <si>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</si>
  <si>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</si>
  <si>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</si>
  <si>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</si>
  <si>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</si>
  <si>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</si>
  <si>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</si>
  <si>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</si>
  <si>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</si>
  <si>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</si>
  <si>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</si>
  <si>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</si>
  <si>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</si>
  <si>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</si>
  <si>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</si>
  <si>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</si>
  <si>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</si>
  <si>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</si>
  <si>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</si>
  <si>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</si>
  <si>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</si>
  <si>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</si>
  <si>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</si>
  <si>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</si>
  <si>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</si>
  <si>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</si>
  <si>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</si>
  <si>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</si>
  <si>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</si>
  <si>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</si>
  <si>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</si>
  <si>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</si>
  <si>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</si>
  <si>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</si>
  <si>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</si>
  <si>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</si>
  <si>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</si>
  <si>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</si>
  <si>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</si>
  <si>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</si>
  <si>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</si>
  <si>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</si>
  <si>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</si>
  <si>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</si>
  <si>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</si>
  <si>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</si>
  <si>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</si>
  <si>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</si>
  <si>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</si>
  <si>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</si>
  <si>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</si>
  <si>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</si>
  <si>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</si>
  <si>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</si>
  <si>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</si>
  <si>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</si>
  <si>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</si>
  <si>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</si>
  <si>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</si>
  <si>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</si>
  <si>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</si>
  <si>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</si>
  <si>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</si>
  <si>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</si>
  <si>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</si>
  <si>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</si>
  <si>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</si>
  <si>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</si>
  <si>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</si>
  <si>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</si>
  <si>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</si>
  <si>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</si>
  <si>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</si>
  <si>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</si>
  <si>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</si>
  <si>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</si>
  <si>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</si>
  <si>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</si>
  <si>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</si>
  <si>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</si>
  <si>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</si>
  <si>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</si>
  <si>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</si>
  <si>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</si>
  <si>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</si>
  <si>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</si>
  <si>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</si>
  <si>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</si>
  <si>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</si>
  <si>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</si>
  <si>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</si>
  <si>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</si>
  <si>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</si>
  <si>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</si>
  <si>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</si>
  <si>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</si>
  <si>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</si>
  <si>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</si>
  <si>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</si>
  <si>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</si>
  <si>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</si>
  <si>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</si>
  <si>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</si>
  <si>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</si>
  <si>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</si>
  <si>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</si>
  <si>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</si>
  <si>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</si>
  <si>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</si>
  <si>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</si>
  <si>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</si>
  <si>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</si>
  <si>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</si>
  <si>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</si>
  <si>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</si>
  <si>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</si>
  <si>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</si>
  <si>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</si>
  <si>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</si>
  <si>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</si>
  <si>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</si>
  <si>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</si>
  <si>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</si>
  <si>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</si>
  <si>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</si>
  <si>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</si>
  <si>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</si>
  <si>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</si>
  <si>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</si>
  <si>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</si>
  <si>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</si>
  <si>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</si>
  <si>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</si>
  <si>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</si>
  <si>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</si>
  <si>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</si>
  <si>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</si>
  <si>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</si>
  <si>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</si>
  <si>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</si>
  <si>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</si>
  <si>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</si>
  <si>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</si>
  <si>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</si>
  <si>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</si>
  <si>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</si>
  <si>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</si>
  <si>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</si>
  <si>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</si>
  <si>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</si>
  <si>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</si>
  <si>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</si>
  <si>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</si>
  <si>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</si>
  <si>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</si>
  <si>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</si>
  <si>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</si>
  <si>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</si>
  <si>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</si>
  <si>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</si>
  <si>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</si>
  <si>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</si>
  <si>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</si>
  <si>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</si>
  <si>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</si>
  <si>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</si>
  <si>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</si>
  <si>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</si>
  <si>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</si>
  <si>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</si>
  <si>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</si>
  <si>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</si>
  <si>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</si>
  <si>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</si>
  <si>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</si>
  <si>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</si>
  <si>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</si>
  <si>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</si>
  <si>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</si>
  <si>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</si>
  <si>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</si>
  <si>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</si>
  <si>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</si>
  <si>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</si>
  <si>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</si>
  <si>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</si>
  <si>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</si>
  <si>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</si>
  <si>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</si>
  <si>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</si>
  <si>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</si>
  <si>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</si>
  <si>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</si>
  <si>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</si>
  <si>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</si>
  <si>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</si>
  <si>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</si>
  <si>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</si>
  <si>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</si>
  <si>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</si>
  <si>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</si>
  <si>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</si>
  <si>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</si>
  <si>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</si>
  <si>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</si>
  <si>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</si>
  <si>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</si>
  <si>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</si>
  <si>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</si>
  <si>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</si>
  <si>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</si>
  <si>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</si>
  <si>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</si>
  <si>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</si>
  <si>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</si>
  <si>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</si>
  <si>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</si>
  <si>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</si>
  <si>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</si>
  <si>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</si>
  <si>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</si>
  <si>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</si>
  <si>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</si>
  <si>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</si>
  <si>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</si>
  <si>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</si>
  <si>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</si>
  <si>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</si>
  <si>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</si>
  <si>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</si>
  <si>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</si>
  <si>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</si>
  <si>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</si>
  <si>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</si>
  <si>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</si>
  <si>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</si>
  <si>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</si>
  <si>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</si>
  <si>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</si>
  <si>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</si>
  <si>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</si>
  <si>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</si>
  <si>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</si>
  <si>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</si>
  <si>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</si>
  <si>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</si>
  <si>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</si>
  <si>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</si>
  <si>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</si>
  <si>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</si>
  <si>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</si>
  <si>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</si>
  <si>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</si>
  <si>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</si>
  <si>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</si>
  <si>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</si>
  <si>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</si>
  <si>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</si>
  <si>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</si>
  <si>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</si>
  <si>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</si>
  <si>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</si>
  <si>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</si>
  <si>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</si>
  <si>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</si>
  <si>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</si>
  <si>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</si>
  <si>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</si>
  <si>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</si>
  <si>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</si>
  <si>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</si>
  <si>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</si>
  <si>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</si>
  <si>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</si>
  <si>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</si>
  <si>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</si>
  <si>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</si>
  <si>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</si>
  <si>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</si>
  <si>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</si>
  <si>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</si>
  <si>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</si>
  <si>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</si>
  <si>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</si>
  <si>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</si>
  <si>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</si>
  <si>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</si>
  <si>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</si>
  <si>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</si>
  <si>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</si>
  <si>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</si>
  <si>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</si>
  <si>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</si>
  <si>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</si>
  <si>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</si>
  <si>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</si>
  <si>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</si>
  <si>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</si>
  <si>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</si>
  <si>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</si>
  <si>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</si>
  <si>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</si>
  <si>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</si>
  <si>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</si>
  <si>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</si>
  <si>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</si>
  <si>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</si>
  <si>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</si>
  <si>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</si>
  <si>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</si>
  <si>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</si>
  <si>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</si>
  <si>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</si>
  <si>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</si>
  <si>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</si>
  <si>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</si>
  <si>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</si>
  <si>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</si>
  <si>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</si>
  <si>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</si>
  <si>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</si>
  <si>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</si>
  <si>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</si>
  <si>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</si>
  <si>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</si>
  <si>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</si>
  <si>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</si>
  <si>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</si>
  <si>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</si>
  <si>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</si>
  <si>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</si>
  <si>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</si>
  <si>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</si>
  <si>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</si>
  <si>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</si>
  <si>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</si>
  <si>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</si>
  <si>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</si>
  <si>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</si>
  <si>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</si>
  <si>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</si>
  <si>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</si>
  <si>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</si>
  <si>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</si>
  <si>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</si>
  <si>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</si>
  <si>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</si>
  <si>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</si>
  <si>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</si>
  <si>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</si>
  <si>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</si>
  <si>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</si>
  <si>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</si>
  <si>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</si>
  <si>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</si>
  <si>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</si>
  <si>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</si>
  <si>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</si>
  <si>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</si>
  <si>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</si>
  <si>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</si>
  <si>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</si>
  <si>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</si>
  <si>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</si>
  <si>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</si>
  <si>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</si>
  <si>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</si>
  <si>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</si>
  <si>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</si>
  <si>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</si>
  <si>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</si>
  <si>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</si>
  <si>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</si>
  <si>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</si>
  <si>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</si>
  <si>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</si>
  <si>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</si>
  <si>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</si>
  <si>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</si>
  <si>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</si>
  <si>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</si>
  <si>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</si>
  <si>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</si>
  <si>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</si>
  <si>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</si>
  <si>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</si>
  <si>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</si>
  <si>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</si>
  <si>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</si>
  <si>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</si>
  <si>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</si>
  <si>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</si>
  <si>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</si>
  <si>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</si>
  <si>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</si>
  <si>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</si>
  <si>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</si>
  <si>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</si>
  <si>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</si>
  <si>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</si>
  <si>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</si>
  <si>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</si>
  <si>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</si>
  <si>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</si>
  <si>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</si>
  <si>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</si>
  <si>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</si>
  <si>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</si>
  <si>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</si>
  <si>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</si>
  <si>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</si>
  <si>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</si>
  <si>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</si>
  <si>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</si>
  <si>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</si>
  <si>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</si>
  <si>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</si>
  <si>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</si>
  <si>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</si>
  <si>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</si>
  <si>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</si>
  <si>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</si>
  <si>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</si>
  <si>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</si>
  <si>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</si>
  <si>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</si>
  <si>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</si>
  <si>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</si>
  <si>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</si>
  <si>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</si>
  <si>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</si>
  <si>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</si>
  <si>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</si>
  <si>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</si>
  <si>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</si>
  <si>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</si>
  <si>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</si>
  <si>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</si>
  <si>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</si>
  <si>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</si>
  <si>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</si>
  <si>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</si>
  <si>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</si>
  <si>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</si>
  <si>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</si>
  <si>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</si>
  <si>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</si>
  <si>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</si>
  <si>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</si>
  <si>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</si>
  <si>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</si>
  <si>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</si>
  <si>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</si>
  <si>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</si>
  <si>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</si>
  <si>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</si>
  <si>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</si>
  <si>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</si>
  <si>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</si>
  <si>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</si>
  <si>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</si>
  <si>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</si>
  <si>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</si>
  <si>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</si>
  <si>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</si>
  <si>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</si>
  <si>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</si>
  <si>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</si>
  <si>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</si>
  <si>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</si>
  <si>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</si>
  <si>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</si>
  <si>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</si>
  <si>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</si>
  <si>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</si>
  <si>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</si>
  <si>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</si>
  <si>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</si>
  <si>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</si>
  <si>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</si>
  <si>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</si>
  <si>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</si>
  <si>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</si>
  <si>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</si>
  <si>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</si>
  <si>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</si>
  <si>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</si>
  <si>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</si>
  <si>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</si>
  <si>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</si>
  <si>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</si>
  <si>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</si>
  <si>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</si>
  <si>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</si>
  <si>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</si>
  <si>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</si>
  <si>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</si>
  <si>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</si>
  <si>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</si>
  <si>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</si>
  <si>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</si>
  <si>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</si>
  <si>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</si>
  <si>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</si>
  <si>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</si>
  <si>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</si>
  <si>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</si>
  <si>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</si>
  <si>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</si>
  <si>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</si>
  <si>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</si>
  <si>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</si>
  <si>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</si>
  <si>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</si>
  <si>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</si>
  <si>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</si>
  <si>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</si>
  <si>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</si>
  <si>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</si>
  <si>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</si>
  <si>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</si>
  <si>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</si>
  <si>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</si>
  <si>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</si>
  <si>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</si>
  <si>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</si>
  <si>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</si>
  <si>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</si>
  <si>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</si>
  <si>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</si>
  <si>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</si>
  <si>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</si>
  <si>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</si>
  <si>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</si>
  <si>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</si>
  <si>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</si>
  <si>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</si>
  <si>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</si>
  <si>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</si>
  <si>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</si>
  <si>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</si>
  <si>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</si>
  <si>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</si>
  <si>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</si>
  <si>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</si>
  <si>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</si>
  <si>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</si>
  <si>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</si>
  <si>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</si>
  <si>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</si>
  <si>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</si>
  <si>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</si>
  <si>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</si>
  <si>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</si>
  <si>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</si>
  <si>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</si>
  <si>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</si>
  <si>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</si>
  <si>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</si>
  <si>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</si>
  <si>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</si>
  <si>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</si>
  <si>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</si>
  <si>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</si>
  <si>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</si>
  <si>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</si>
  <si>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</si>
  <si>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</si>
  <si>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</si>
  <si>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</si>
  <si>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</si>
  <si>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</si>
  <si>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</si>
  <si>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</si>
  <si>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</si>
  <si>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</si>
  <si>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</si>
  <si>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</si>
  <si>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</si>
  <si>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</si>
  <si>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</si>
  <si>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</si>
  <si>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</si>
  <si>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</si>
  <si>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</si>
  <si>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</si>
  <si>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</si>
  <si>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</si>
  <si>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</si>
  <si>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</si>
  <si>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</si>
  <si>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</si>
  <si>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</si>
  <si>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</si>
  <si>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</si>
  <si>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</si>
  <si>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</si>
  <si>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</si>
  <si>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</si>
  <si>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</si>
  <si>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</si>
  <si>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</si>
  <si>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</si>
  <si>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</si>
  <si>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</si>
  <si>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</si>
  <si>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</si>
  <si>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</si>
  <si>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</si>
  <si>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</si>
  <si>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</si>
  <si>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</si>
  <si>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</si>
  <si>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</si>
  <si>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</si>
  <si>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</si>
  <si>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</si>
  <si>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</si>
  <si>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</si>
  <si>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</si>
  <si>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</si>
  <si>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</si>
  <si>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</si>
  <si>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</si>
  <si>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</si>
  <si>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</si>
  <si>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</si>
  <si>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</si>
  <si>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</si>
  <si>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</si>
  <si>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</si>
  <si>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</si>
  <si>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</si>
  <si>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</si>
  <si>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</si>
  <si>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</si>
  <si>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</si>
  <si>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</si>
  <si>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</si>
  <si>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</si>
  <si>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</si>
  <si>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</si>
  <si>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</si>
  <si>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</si>
  <si>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</si>
  <si>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</si>
  <si>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</si>
  <si>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</si>
  <si>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</si>
  <si>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</si>
  <si>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</si>
  <si>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</si>
  <si>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</si>
  <si>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</si>
  <si>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</si>
  <si>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</si>
  <si>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</si>
  <si>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</si>
  <si>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</si>
  <si>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</si>
  <si>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</si>
  <si>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</si>
  <si>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</si>
  <si>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</si>
  <si>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</si>
  <si>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</si>
  <si>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</si>
  <si>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</si>
  <si>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</si>
  <si>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</si>
  <si>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</si>
  <si>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</si>
  <si>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</si>
  <si>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</si>
  <si>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</si>
  <si>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</si>
  <si>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</si>
  <si>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</si>
  <si>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</si>
  <si>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</si>
  <si>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</si>
  <si>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</si>
  <si>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</si>
  <si>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</si>
  <si>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</si>
  <si>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</si>
  <si>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</si>
  <si>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</si>
  <si>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</si>
  <si>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</si>
  <si>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</si>
  <si>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</si>
  <si>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</si>
  <si>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</si>
  <si>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</si>
  <si>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</si>
  <si>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</si>
  <si>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</si>
  <si>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</si>
  <si>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</si>
  <si>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</si>
  <si>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</si>
  <si>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</si>
  <si>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</si>
  <si>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</si>
  <si>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</si>
  <si>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</si>
  <si>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</si>
  <si>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</si>
  <si>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</si>
  <si>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</si>
  <si>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</si>
  <si>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</si>
  <si>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</si>
  <si>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</si>
  <si>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</si>
  <si>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</si>
  <si>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</si>
  <si>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</si>
  <si>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</si>
  <si>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</si>
  <si>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</si>
  <si>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</si>
  <si>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</si>
  <si>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</si>
  <si>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</si>
  <si>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</si>
  <si>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</si>
  <si>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</si>
  <si>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</si>
  <si>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</si>
  <si>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</si>
  <si>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</si>
  <si>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</si>
  <si>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</si>
  <si>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</si>
  <si>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</si>
  <si>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</si>
  <si>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</si>
  <si>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</si>
  <si>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</si>
  <si>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</si>
  <si>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</si>
  <si>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</si>
  <si>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</si>
  <si>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</si>
  <si>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</si>
  <si>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</si>
  <si>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</si>
  <si>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</si>
  <si>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</si>
  <si>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</si>
  <si>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</si>
  <si>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</si>
  <si>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</si>
  <si>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</si>
  <si>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</si>
  <si>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</si>
  <si>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</si>
  <si>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</si>
  <si>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</si>
  <si>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</si>
  <si>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</si>
  <si>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</si>
  <si>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</si>
  <si>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</si>
  <si>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</si>
  <si>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</si>
  <si>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</si>
  <si>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</si>
  <si>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</si>
  <si>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</si>
  <si>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</si>
  <si>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</si>
  <si>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</si>
  <si>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</si>
  <si>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</si>
  <si>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</si>
  <si>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</si>
  <si>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</si>
  <si>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</si>
  <si>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</si>
  <si>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</si>
  <si>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</si>
  <si>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</si>
  <si>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</si>
  <si>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</si>
  <si>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</si>
  <si>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</si>
  <si>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</si>
  <si>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</si>
  <si>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</si>
  <si>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</si>
  <si>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</si>
  <si>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</si>
  <si>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</si>
  <si>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</si>
  <si>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</si>
  <si>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</si>
  <si>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</si>
  <si>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</si>
  <si>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</si>
  <si>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</si>
  <si>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</si>
  <si>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</si>
  <si>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</si>
  <si>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</si>
  <si>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</si>
  <si>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</si>
  <si>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</si>
  <si>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</si>
  <si>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</si>
  <si>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</si>
  <si>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</si>
  <si>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</si>
  <si>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</si>
  <si>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</si>
  <si>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</si>
  <si>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</si>
  <si>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</si>
  <si>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</si>
  <si>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</si>
  <si>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</si>
  <si>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</si>
  <si>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</si>
  <si>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</si>
  <si>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</si>
  <si>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</si>
  <si>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</si>
  <si>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</si>
  <si>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</si>
  <si>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</si>
  <si>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</si>
  <si>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</si>
  <si>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</si>
  <si>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</si>
  <si>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</si>
  <si>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</si>
  <si>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</si>
  <si>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</si>
  <si>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</si>
  <si>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</si>
  <si>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</si>
  <si>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</si>
  <si>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</si>
  <si>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</si>
  <si>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</si>
  <si>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</si>
  <si>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</si>
  <si>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</si>
  <si>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</si>
  <si>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</si>
  <si>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</si>
  <si>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</si>
  <si>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</si>
  <si>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</si>
  <si>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</si>
  <si>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</si>
  <si>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</si>
  <si>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</si>
  <si>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</si>
  <si>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</si>
  <si>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</si>
  <si>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</si>
  <si>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</si>
  <si>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</si>
  <si>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</si>
  <si>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</si>
  <si>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</si>
  <si>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</si>
  <si>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</si>
  <si>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</si>
  <si>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</si>
  <si>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</si>
  <si>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</si>
  <si>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</si>
  <si>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</si>
  <si>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</si>
  <si>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</si>
  <si>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</si>
  <si>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</si>
  <si>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</si>
  <si>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</si>
  <si>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</si>
  <si>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</si>
  <si>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</si>
  <si>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</si>
  <si>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</si>
  <si>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</si>
  <si>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</si>
  <si>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</si>
  <si>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</si>
  <si>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</si>
  <si>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</si>
  <si>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</si>
  <si>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</si>
  <si>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</si>
  <si>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</si>
  <si>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</si>
  <si>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</si>
  <si>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</si>
  <si>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</si>
  <si>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</si>
  <si>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</si>
  <si>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</si>
  <si>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</si>
  <si>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</si>
  <si>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</si>
  <si>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</si>
  <si>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</si>
  <si>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</si>
  <si>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</si>
  <si>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</si>
  <si>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</si>
  <si>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</si>
  <si>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</si>
  <si>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</si>
  <si>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</si>
  <si>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</si>
  <si>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</si>
  <si>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</si>
  <si>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</si>
  <si>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</si>
  <si>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</si>
  <si>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</si>
  <si>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</si>
  <si>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</si>
  <si>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</si>
  <si>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</si>
  <si>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</si>
  <si>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</si>
  <si>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</si>
  <si>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</si>
  <si>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</si>
  <si>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</si>
  <si>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</si>
  <si>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</si>
  <si>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</si>
  <si>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</si>
  <si>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</si>
  <si>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</si>
  <si>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</si>
  <si>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</si>
  <si>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</si>
  <si>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</si>
  <si>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</si>
  <si>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</si>
  <si>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</si>
  <si>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</si>
  <si>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</si>
  <si>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</si>
  <si>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</si>
  <si>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</si>
  <si>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</si>
  <si>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</si>
  <si>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</si>
  <si>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</si>
  <si>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</si>
  <si>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</si>
  <si>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</si>
  <si>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</si>
  <si>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</si>
  <si>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</si>
  <si>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</si>
  <si>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</si>
  <si>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</si>
  <si>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</si>
  <si>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</si>
  <si>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</si>
  <si>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</si>
  <si>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</si>
  <si>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</si>
  <si>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</si>
  <si>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</si>
  <si>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</si>
  <si>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</si>
  <si>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</si>
  <si>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</si>
  <si>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</si>
  <si>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</si>
  <si>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</si>
  <si>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</si>
  <si>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</si>
  <si>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</si>
  <si>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</si>
  <si>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</si>
  <si>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</si>
  <si>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</si>
  <si>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</si>
  <si>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</si>
  <si>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</si>
  <si>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</si>
  <si>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</si>
  <si>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</si>
  <si>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</si>
  <si>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</si>
  <si>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</si>
  <si>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</si>
  <si>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</si>
  <si>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</si>
  <si>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</si>
  <si>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</si>
  <si>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</si>
  <si>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</si>
  <si>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</si>
  <si>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</si>
  <si>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</si>
  <si>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</si>
  <si>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</si>
  <si>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</si>
  <si>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</si>
  <si>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</si>
  <si>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</si>
  <si>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</si>
  <si>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</si>
  <si>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</si>
  <si>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</si>
  <si>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</si>
  <si>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</si>
  <si>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</si>
  <si>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</si>
  <si>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</si>
  <si>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</si>
  <si>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</si>
  <si>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</si>
  <si>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</si>
  <si>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</si>
  <si>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</si>
  <si>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</si>
  <si>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</si>
  <si>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</si>
  <si>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</si>
  <si>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</si>
  <si>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</si>
  <si>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</si>
  <si>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</si>
  <si>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</si>
  <si>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</si>
  <si>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</si>
  <si>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</si>
  <si>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</si>
  <si>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</si>
  <si>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</si>
  <si>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</si>
  <si>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</si>
  <si>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</si>
  <si>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</si>
  <si>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</si>
  <si>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</si>
  <si>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</si>
  <si>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</si>
  <si>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</si>
  <si>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</si>
  <si>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</si>
  <si>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</si>
  <si>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</si>
  <si>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</si>
  <si>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</si>
  <si>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</si>
  <si>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</si>
  <si>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</si>
  <si>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</si>
  <si>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</si>
  <si>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</si>
  <si>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</si>
  <si>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</si>
  <si>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</si>
  <si>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</si>
  <si>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</si>
  <si>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</si>
  <si>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</si>
  <si>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</si>
  <si>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</si>
  <si>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</si>
  <si>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</si>
  <si>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</si>
  <si>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</si>
  <si>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</si>
  <si>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</si>
  <si>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</si>
  <si>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</si>
  <si>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</si>
  <si>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</si>
  <si>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</si>
  <si>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</si>
  <si>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</si>
  <si>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</si>
  <si>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</si>
  <si>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</si>
  <si>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</si>
  <si>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</si>
  <si>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</si>
  <si>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</si>
  <si>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</si>
  <si>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</si>
  <si>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</si>
  <si>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</si>
  <si>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</si>
  <si>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</si>
  <si>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</si>
  <si>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</si>
  <si>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</si>
  <si>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</si>
  <si>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</si>
  <si>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</si>
  <si>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</si>
  <si>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</si>
  <si>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</si>
  <si>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</si>
  <si>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</si>
  <si>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</si>
  <si>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</si>
  <si>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</si>
  <si>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</si>
  <si>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</si>
  <si>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</si>
  <si>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</si>
  <si>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</si>
  <si>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</si>
  <si>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</si>
  <si>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</si>
  <si>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</si>
  <si>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</si>
  <si>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</si>
  <si>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</si>
  <si>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</si>
  <si>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</si>
  <si>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</si>
  <si>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</si>
  <si>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</si>
  <si>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</si>
  <si>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</si>
  <si>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</si>
  <si>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</si>
  <si>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</si>
  <si>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</si>
  <si>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</si>
  <si>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</si>
  <si>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</si>
  <si>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</si>
  <si>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</si>
  <si>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</si>
  <si>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</si>
  <si>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</si>
  <si>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</si>
  <si>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</si>
  <si>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</si>
  <si>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</si>
  <si>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</si>
  <si>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</si>
  <si>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</si>
  <si>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</si>
  <si>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</si>
  <si>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</si>
  <si>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</si>
  <si>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</si>
  <si>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</si>
  <si>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</si>
  <si>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</si>
  <si>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</si>
  <si>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</si>
  <si>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</si>
  <si>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</si>
  <si>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</si>
  <si>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</si>
  <si>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</si>
  <si>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</si>
  <si>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</si>
  <si>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</si>
  <si>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</si>
  <si>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</si>
  <si>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</si>
  <si>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</si>
  <si>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</si>
  <si>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</si>
  <si>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</si>
  <si>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</si>
  <si>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</si>
  <si>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</si>
  <si>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</si>
  <si>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</si>
  <si>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</si>
  <si>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</si>
  <si>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</si>
  <si>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</si>
  <si>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</si>
  <si>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</si>
  <si>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</si>
  <si>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</si>
  <si>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</si>
  <si>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</si>
  <si>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</si>
  <si>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</si>
  <si>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</si>
  <si>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</si>
  <si>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</si>
  <si>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</si>
  <si>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</si>
  <si>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</si>
  <si>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</si>
  <si>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</si>
  <si>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</si>
  <si>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</si>
  <si>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</si>
  <si>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</si>
  <si>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</si>
  <si>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</si>
  <si>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</si>
  <si>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</si>
  <si>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</si>
  <si>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</si>
  <si>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</si>
  <si>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</si>
  <si>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</si>
  <si>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</si>
  <si>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</si>
  <si>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</si>
  <si>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</si>
  <si>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</si>
  <si>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</si>
  <si>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</si>
  <si>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</si>
  <si>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</si>
  <si>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</si>
  <si>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</si>
  <si>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</si>
  <si>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</si>
  <si>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</si>
  <si>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</si>
  <si>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</si>
  <si>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</si>
  <si>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</si>
  <si>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</si>
  <si>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</si>
  <si>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</si>
  <si>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</si>
  <si>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</si>
  <si>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</si>
  <si>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</si>
  <si>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</si>
  <si>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</si>
  <si>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</si>
  <si>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</si>
  <si>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</si>
  <si>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</si>
  <si>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</si>
  <si>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</si>
  <si>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</si>
  <si>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</si>
  <si>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</si>
  <si>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</si>
  <si>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</si>
  <si>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</si>
  <si>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</si>
  <si>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</si>
  <si>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</si>
  <si>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</si>
  <si>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</si>
  <si>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</si>
  <si>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</si>
  <si>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</si>
  <si>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</si>
  <si>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</si>
  <si>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</si>
  <si>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</si>
  <si>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</si>
  <si>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</si>
  <si>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</si>
  <si>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</si>
  <si>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</si>
  <si>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</si>
  <si>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</si>
  <si>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</si>
  <si>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</si>
  <si>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</si>
  <si>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</si>
  <si>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</si>
  <si>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</si>
  <si>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</si>
  <si>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</si>
  <si>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</si>
  <si>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</si>
  <si>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</si>
  <si>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</si>
  <si>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</si>
  <si>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</si>
  <si>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</si>
  <si>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</si>
  <si>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</si>
  <si>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</si>
  <si>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</si>
  <si>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</si>
  <si>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</si>
  <si>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</si>
  <si>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</si>
  <si>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</si>
  <si>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</si>
  <si>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</si>
  <si>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</si>
  <si>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</si>
  <si>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</si>
  <si>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</si>
  <si>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</si>
  <si>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</si>
  <si>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</si>
  <si>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</si>
  <si>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</si>
  <si>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</si>
  <si>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</si>
  <si>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</si>
  <si>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</si>
  <si>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</si>
  <si>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</si>
  <si>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</si>
  <si>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</si>
  <si>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</si>
  <si>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</si>
  <si>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</si>
  <si>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</si>
  <si>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</si>
  <si>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</si>
  <si>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</si>
  <si>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</si>
  <si>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</si>
  <si>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</si>
  <si>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</si>
  <si>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</si>
  <si>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</si>
  <si>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</si>
  <si>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</si>
  <si>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</si>
  <si>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</si>
  <si>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</si>
  <si>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</si>
  <si>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</si>
  <si>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</si>
  <si>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</si>
  <si>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</si>
  <si>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</si>
  <si>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</si>
  <si>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</si>
  <si>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</si>
  <si>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</si>
  <si>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</si>
  <si>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</si>
  <si>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</si>
  <si>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</si>
  <si>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</si>
  <si>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</si>
  <si>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</si>
  <si>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</si>
  <si>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</si>
  <si>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</si>
  <si>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</si>
  <si>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</si>
  <si>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</si>
  <si>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</si>
  <si>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</si>
  <si>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</si>
  <si>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</si>
  <si>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</si>
  <si>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</si>
  <si>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</si>
  <si>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</si>
  <si>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</si>
  <si>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</si>
  <si>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</si>
  <si>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</si>
  <si>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</si>
  <si>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</si>
  <si>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</si>
  <si>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</si>
  <si>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</si>
  <si>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</si>
  <si>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</si>
  <si>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</si>
  <si>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</si>
  <si>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</si>
  <si>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</si>
  <si>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</si>
  <si>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</si>
  <si>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</si>
  <si>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</si>
  <si>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</si>
  <si>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</si>
  <si>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</si>
  <si>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</si>
  <si>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</si>
  <si>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</si>
  <si>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</si>
  <si>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</si>
  <si>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</si>
  <si>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</si>
  <si>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</si>
  <si>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</si>
  <si>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</si>
  <si>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</si>
  <si>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</si>
  <si>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</si>
  <si>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</si>
  <si>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</si>
  <si>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</si>
  <si>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</si>
  <si>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</si>
  <si>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</si>
  <si>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</si>
  <si>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</si>
  <si>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</si>
  <si>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</si>
  <si>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</si>
  <si>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</si>
  <si>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</si>
  <si>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</si>
  <si>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</si>
  <si>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</si>
  <si>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</si>
  <si>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</si>
  <si>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</si>
  <si>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</si>
  <si>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</si>
  <si>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</si>
  <si>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</si>
  <si>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</si>
  <si>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</si>
  <si>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</si>
  <si>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</si>
  <si>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</si>
  <si>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</si>
  <si>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</si>
  <si>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</si>
  <si>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</si>
  <si>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</si>
  <si>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</si>
  <si>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</si>
  <si>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</si>
  <si>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</si>
  <si>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</si>
  <si>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</si>
  <si>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</si>
  <si>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</si>
  <si>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</si>
  <si>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</si>
  <si>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</si>
  <si>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</si>
  <si>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</si>
  <si>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</si>
  <si>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</si>
  <si>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</si>
  <si>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</si>
  <si>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</si>
  <si>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</si>
  <si>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</si>
  <si>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</si>
  <si>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</si>
  <si>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</si>
  <si>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</si>
  <si>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</si>
  <si>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</si>
  <si>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</si>
  <si>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</si>
  <si>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</si>
  <si>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</si>
  <si>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</si>
  <si>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</si>
  <si>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</si>
  <si>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</si>
  <si>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</si>
  <si>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</si>
  <si>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</si>
  <si>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</si>
  <si>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</si>
  <si>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</si>
  <si>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</si>
  <si>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</si>
  <si>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</si>
  <si>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</si>
  <si>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</si>
  <si>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</si>
  <si>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</si>
  <si>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</si>
  <si>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</si>
  <si>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</si>
  <si>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</si>
  <si>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</si>
  <si>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</si>
  <si>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</si>
  <si>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</si>
  <si>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</si>
  <si>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</si>
  <si>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</si>
  <si>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</si>
  <si>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</si>
  <si>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</si>
  <si>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</si>
  <si>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</si>
  <si>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</si>
  <si>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</si>
  <si>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</si>
  <si>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</si>
  <si>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</si>
  <si>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</si>
  <si>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</si>
  <si>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</si>
  <si>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</si>
  <si>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</si>
  <si>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</si>
  <si>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</si>
  <si>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</si>
  <si>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</si>
  <si>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</si>
  <si>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</si>
  <si>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</si>
  <si>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</si>
  <si>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</si>
  <si>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</si>
  <si>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</si>
  <si>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</si>
  <si>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</si>
  <si>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</si>
  <si>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</si>
  <si>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</si>
  <si>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</si>
  <si>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</si>
  <si>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</si>
  <si>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</si>
  <si>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</si>
  <si>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</si>
  <si>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</si>
  <si>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</si>
  <si>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</si>
  <si>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</si>
  <si>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</si>
  <si>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</si>
  <si>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</si>
  <si>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</si>
  <si>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</si>
  <si>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</si>
  <si>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</si>
  <si>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</si>
  <si>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</si>
  <si>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</si>
  <si>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</si>
  <si>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</si>
  <si>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</si>
  <si>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</si>
  <si>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</si>
  <si>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</si>
  <si>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</si>
  <si>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</si>
  <si>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</si>
  <si>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</si>
  <si>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</si>
  <si>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</si>
  <si>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</si>
  <si>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</si>
  <si>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</si>
  <si>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</si>
  <si>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</si>
  <si>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</si>
  <si>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</si>
  <si>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</si>
  <si>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</si>
  <si>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</si>
  <si>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</si>
  <si>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</si>
  <si>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</si>
  <si>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</si>
  <si>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</si>
  <si>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</si>
  <si>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</si>
  <si>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</si>
  <si>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</si>
  <si>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</si>
  <si>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</si>
  <si>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</si>
  <si>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</si>
  <si>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</si>
  <si>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</si>
  <si>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</si>
  <si>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</si>
  <si>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</si>
  <si>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</si>
  <si>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</si>
  <si>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</si>
  <si>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</si>
  <si>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</si>
  <si>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</si>
  <si>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</si>
  <si>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</si>
  <si>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</si>
  <si>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</si>
  <si>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</si>
  <si>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</si>
  <si>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</si>
  <si>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</si>
  <si>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</si>
  <si>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</si>
  <si>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</si>
  <si>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</si>
  <si>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</si>
  <si>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</si>
  <si>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</si>
  <si>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</si>
  <si>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</si>
  <si>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</si>
  <si>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</si>
  <si>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</si>
  <si>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</si>
  <si>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</si>
  <si>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</si>
  <si>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</si>
  <si>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</si>
  <si>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</si>
  <si>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</si>
  <si>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</si>
  <si>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</si>
  <si>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</si>
  <si>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</si>
  <si>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</si>
  <si>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</si>
  <si>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</si>
  <si>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</si>
  <si>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</si>
  <si>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</si>
  <si>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</si>
  <si>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</si>
  <si>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</si>
  <si>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</si>
  <si>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</si>
  <si>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</si>
  <si>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</si>
  <si>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</si>
  <si>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</si>
  <si>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</si>
  <si>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</si>
  <si>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</si>
  <si>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</si>
  <si>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</si>
  <si>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</si>
  <si>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</si>
  <si>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</si>
  <si>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</si>
  <si>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</si>
  <si>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</si>
  <si>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</si>
  <si>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</si>
  <si>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</si>
  <si>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</si>
  <si>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</si>
  <si>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</si>
  <si>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</si>
  <si>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</si>
  <si>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</si>
  <si>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</si>
  <si>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</si>
  <si>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</si>
  <si>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</si>
  <si>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</si>
  <si>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</si>
  <si>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</si>
  <si>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</si>
  <si>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</si>
  <si>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</si>
  <si>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</si>
  <si>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</si>
  <si>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</si>
  <si>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</si>
  <si>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</si>
  <si>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</si>
  <si>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</si>
  <si>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</si>
  <si>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</si>
  <si>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</si>
  <si>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</si>
  <si>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</si>
  <si>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</si>
  <si>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</si>
  <si>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</si>
  <si>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</si>
  <si>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</si>
  <si>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</si>
  <si>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</si>
  <si>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</si>
  <si>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</si>
  <si>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</si>
  <si>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</si>
  <si>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</si>
  <si>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</si>
  <si>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</si>
  <si>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</si>
  <si>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</si>
  <si>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</si>
  <si>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</si>
  <si>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</si>
  <si>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</si>
  <si>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</si>
  <si>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</si>
  <si>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</si>
  <si>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</si>
  <si>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</si>
  <si>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</si>
  <si>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</si>
  <si>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</si>
  <si>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</si>
  <si>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</si>
  <si>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</si>
  <si>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</si>
  <si>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</si>
  <si>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</si>
  <si>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</si>
  <si>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</si>
  <si>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</si>
  <si>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</si>
  <si>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</si>
  <si>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</si>
  <si>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</si>
  <si>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</si>
  <si>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</si>
  <si>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</si>
  <si>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</si>
  <si>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</si>
  <si>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</si>
  <si>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</si>
  <si>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</si>
  <si>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</si>
  <si>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</si>
  <si>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</si>
  <si>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</si>
  <si>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</si>
  <si>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</si>
  <si>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</si>
  <si>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</si>
  <si>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</si>
  <si>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</si>
  <si>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</si>
  <si>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</si>
  <si>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</si>
  <si>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</si>
  <si>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</si>
  <si>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</si>
  <si>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</si>
  <si>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</si>
  <si>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</si>
  <si>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</si>
  <si>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</si>
  <si>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</si>
  <si>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</si>
  <si>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</si>
  <si>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</si>
  <si>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</si>
  <si>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</si>
  <si>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</si>
  <si>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</si>
  <si>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</si>
  <si>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</si>
  <si>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</si>
  <si>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</si>
  <si>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</si>
  <si>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</si>
  <si>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</si>
  <si>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</si>
  <si>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</si>
  <si>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</si>
  <si>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</si>
  <si>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</si>
  <si>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</si>
  <si>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</si>
  <si>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</si>
  <si>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</si>
  <si>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</si>
  <si>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</si>
  <si>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</si>
  <si>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</si>
  <si>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</si>
  <si>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</si>
  <si>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</si>
  <si>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</si>
  <si>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</si>
  <si>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</si>
  <si>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</si>
  <si>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</si>
  <si>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</si>
  <si>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</si>
  <si>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</si>
  <si>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</si>
  <si>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</si>
  <si>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</si>
  <si>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</si>
  <si>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</si>
  <si>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</si>
  <si>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</si>
  <si>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</si>
  <si>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</si>
  <si>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</si>
  <si>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</si>
  <si>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</si>
  <si>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</si>
  <si>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</si>
  <si>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</si>
  <si>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</si>
  <si>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</si>
  <si>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</si>
  <si>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</si>
  <si>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</si>
  <si>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</si>
  <si>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</si>
  <si>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</si>
  <si>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</si>
  <si>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</si>
  <si>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</si>
  <si>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</si>
  <si>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</si>
  <si>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</si>
  <si>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</si>
  <si>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</si>
  <si>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</si>
  <si>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</si>
  <si>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</si>
  <si>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</si>
  <si>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</si>
  <si>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</si>
  <si>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</si>
  <si>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</si>
  <si>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</si>
  <si>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</si>
  <si>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</si>
  <si>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</si>
  <si>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</si>
  <si>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</si>
  <si>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</si>
  <si>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</si>
  <si>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</si>
  <si>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</si>
  <si>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</si>
  <si>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</si>
  <si>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</si>
  <si>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</si>
  <si>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</si>
  <si>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</si>
  <si>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</si>
  <si>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</si>
  <si>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</si>
  <si>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</si>
  <si>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</si>
  <si>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</si>
  <si>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</si>
  <si>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</si>
  <si>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</si>
  <si>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</si>
  <si>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</si>
  <si>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</si>
  <si>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</si>
  <si>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</si>
  <si>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</si>
  <si>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</si>
  <si>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</si>
  <si>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</si>
  <si>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</si>
  <si>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</si>
  <si>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</si>
  <si>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</si>
  <si>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</si>
  <si>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</si>
  <si>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</si>
  <si>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</si>
  <si>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</si>
  <si>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</si>
  <si>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</si>
  <si>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</si>
  <si>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</si>
  <si>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</si>
  <si>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</si>
  <si>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</si>
  <si>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</si>
  <si>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</si>
  <si>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</si>
  <si>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</si>
  <si>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</si>
  <si>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</si>
  <si>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</si>
  <si>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</si>
  <si>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</si>
  <si>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</si>
  <si>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</si>
  <si>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</si>
  <si>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</si>
  <si>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</si>
  <si>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</si>
  <si>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</si>
  <si>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</si>
  <si>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</si>
  <si>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</si>
  <si>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</si>
  <si>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</si>
  <si>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</si>
  <si>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</si>
  <si>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</si>
  <si>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</si>
  <si>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</si>
  <si>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</si>
  <si>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</si>
  <si>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</si>
  <si>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</si>
  <si>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</si>
  <si>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</si>
  <si>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</si>
  <si>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</si>
  <si>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</si>
  <si>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</si>
  <si>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</si>
  <si>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</si>
  <si>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</si>
  <si>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</si>
  <si>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</si>
  <si>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</si>
  <si>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</si>
  <si>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</si>
  <si>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</si>
  <si>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</si>
  <si>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</si>
  <si>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</si>
  <si>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</si>
  <si>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</si>
  <si>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</si>
  <si>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</si>
  <si>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</si>
  <si>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</si>
  <si>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</si>
  <si>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</si>
  <si>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</si>
  <si>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</si>
  <si>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</si>
  <si>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</si>
  <si>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</si>
  <si>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</si>
  <si>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</si>
  <si>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</si>
  <si>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</si>
  <si>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</si>
  <si>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</si>
  <si>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</si>
  <si>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</si>
  <si>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</si>
  <si>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</si>
  <si>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</si>
  <si>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</si>
  <si>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</si>
  <si>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</si>
  <si>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</si>
  <si>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</si>
  <si>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</si>
  <si>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</si>
  <si>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</si>
  <si>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</si>
  <si>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</si>
  <si>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</si>
  <si>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</si>
  <si>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</si>
  <si>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</si>
  <si>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</si>
  <si>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</si>
  <si>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</si>
  <si>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</si>
  <si>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</si>
  <si>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</si>
  <si>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</si>
  <si>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</si>
  <si>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</si>
  <si>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</si>
  <si>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</si>
  <si>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</si>
  <si>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</si>
  <si>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</si>
  <si>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</si>
  <si>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</si>
  <si>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</si>
  <si>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</si>
  <si>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</si>
  <si>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</si>
  <si>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</si>
  <si>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</si>
  <si>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</si>
  <si>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</si>
  <si>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</si>
  <si>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</si>
  <si>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</si>
  <si>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</si>
  <si>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</si>
  <si>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</si>
  <si>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</si>
  <si>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</si>
  <si>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</si>
  <si>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</si>
  <si>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</si>
  <si>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</si>
  <si>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</si>
  <si>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</si>
  <si>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</si>
  <si>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</si>
  <si>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</si>
  <si>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</si>
  <si>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</si>
  <si>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</si>
  <si>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</si>
  <si>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</si>
  <si>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</si>
  <si>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</si>
  <si>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</si>
  <si>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</si>
  <si>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</si>
  <si>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</si>
  <si>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</si>
  <si>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</si>
  <si>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</si>
  <si>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</si>
  <si>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</si>
  <si>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</si>
  <si>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</si>
  <si>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</si>
  <si>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</si>
  <si>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</si>
  <si>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</si>
  <si>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</si>
  <si>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</si>
  <si>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</si>
  <si>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</si>
  <si>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</si>
  <si>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</si>
  <si>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</si>
  <si>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</si>
  <si>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</si>
  <si>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</si>
  <si>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</si>
  <si>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</si>
  <si>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</si>
  <si>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</si>
  <si>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</si>
  <si>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</si>
  <si>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</si>
  <si>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</si>
  <si>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</si>
  <si>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</si>
  <si>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</si>
  <si>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</si>
  <si>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</si>
  <si>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</si>
  <si>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</si>
  <si>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</si>
  <si>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</si>
  <si>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</si>
  <si>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</si>
  <si>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</si>
  <si>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</si>
  <si>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</si>
  <si>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</si>
  <si>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</si>
  <si>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</si>
  <si>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</si>
  <si>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</si>
  <si>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</si>
  <si>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</si>
  <si>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</si>
  <si>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</si>
  <si>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</si>
  <si>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</si>
  <si>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</si>
  <si>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</si>
  <si>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</si>
  <si>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</si>
  <si>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</si>
  <si>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</si>
  <si>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</si>
  <si>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</si>
  <si>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</si>
  <si>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</si>
  <si>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</si>
  <si>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</si>
  <si>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</si>
  <si>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</si>
  <si>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</si>
  <si>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</si>
  <si>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</si>
  <si>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</si>
  <si>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</si>
  <si>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</si>
  <si>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</si>
  <si>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</si>
  <si>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</si>
  <si>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</si>
  <si>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</si>
  <si>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</si>
  <si>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</si>
  <si>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</si>
  <si>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</si>
  <si>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</si>
  <si>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</si>
  <si>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</si>
  <si>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</si>
  <si>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</si>
  <si>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</si>
  <si>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</si>
  <si>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</si>
  <si>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</si>
  <si>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</si>
  <si>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</si>
  <si>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</si>
  <si>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</si>
  <si>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</si>
  <si>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</si>
  <si>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</si>
  <si>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</si>
  <si>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</si>
  <si>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</si>
  <si>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</si>
  <si>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</si>
  <si>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</si>
  <si>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</si>
  <si>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</si>
  <si>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</si>
  <si>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</si>
  <si>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</si>
  <si>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</si>
  <si>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</si>
  <si>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</si>
  <si>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</si>
  <si>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</si>
  <si>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</si>
  <si>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</si>
  <si>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</si>
  <si>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</si>
  <si>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</si>
  <si>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</si>
  <si>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</si>
  <si>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</si>
  <si>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</si>
  <si>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</si>
  <si>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</si>
  <si>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</si>
  <si>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</si>
  <si>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</si>
  <si>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</si>
  <si>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</si>
  <si>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</si>
  <si>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</si>
  <si>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</si>
  <si>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</si>
  <si>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</si>
  <si>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</si>
  <si>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</si>
  <si>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</si>
  <si>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</si>
  <si>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</si>
  <si>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</si>
  <si>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</si>
  <si>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</si>
  <si>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</si>
  <si>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</si>
  <si>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</si>
  <si>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</si>
  <si>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</si>
  <si>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</si>
  <si>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</si>
  <si>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</si>
  <si>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</si>
  <si>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</si>
  <si>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</si>
  <si>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</si>
  <si>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</si>
  <si>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</si>
  <si>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</si>
  <si>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</si>
  <si>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</si>
  <si>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</si>
  <si>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</si>
  <si>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</si>
  <si>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</si>
  <si>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</si>
  <si>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</si>
  <si>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</si>
  <si>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</si>
  <si>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</si>
  <si>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</si>
  <si>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</si>
  <si>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</si>
  <si>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</si>
  <si>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</si>
  <si>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</si>
  <si>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</si>
  <si>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</si>
  <si>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</si>
  <si>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</si>
  <si>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</si>
  <si>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</si>
  <si>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</si>
  <si>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</si>
  <si>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</si>
  <si>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</si>
  <si>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</si>
  <si>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</si>
  <si>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</si>
  <si>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</si>
  <si>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</si>
  <si>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</si>
  <si>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</si>
  <si>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</si>
  <si>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</si>
  <si>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</si>
  <si>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</si>
  <si>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</si>
  <si>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</si>
  <si>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</si>
  <si>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</si>
  <si>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</si>
  <si>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</si>
  <si>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</si>
  <si>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</si>
  <si>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</si>
  <si>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</si>
  <si>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</si>
  <si>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</si>
  <si>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</si>
  <si>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</si>
  <si>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</si>
  <si>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</si>
  <si>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</si>
  <si>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</si>
  <si>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</si>
  <si>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</si>
  <si>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</si>
  <si>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</si>
  <si>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</si>
  <si>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</si>
  <si>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</si>
  <si>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</si>
  <si>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</si>
  <si>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</si>
  <si>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</si>
  <si>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</si>
  <si>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</si>
  <si>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</si>
  <si>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</si>
  <si>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</si>
  <si>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</si>
  <si>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</si>
  <si>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</si>
  <si>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</si>
  <si>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</si>
  <si>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</si>
  <si>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</si>
  <si>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</si>
  <si>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</si>
  <si>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</si>
  <si>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</si>
  <si>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</si>
  <si>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</si>
  <si>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</si>
  <si>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</si>
  <si>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</si>
  <si>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</si>
  <si>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</si>
  <si>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</si>
  <si>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</si>
  <si>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</si>
  <si>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</si>
  <si>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</si>
  <si>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</si>
  <si>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</si>
  <si>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</si>
  <si>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</si>
  <si>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</si>
  <si>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</si>
  <si>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</si>
  <si>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</si>
  <si>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</si>
  <si>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</si>
  <si>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</si>
  <si>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</si>
  <si>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</si>
  <si>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</si>
  <si>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</si>
  <si>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</si>
  <si>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</si>
  <si>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</si>
  <si>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</si>
  <si>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</si>
  <si>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</si>
  <si>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</si>
  <si>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</si>
  <si>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</si>
  <si>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</si>
  <si>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</si>
  <si>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</si>
  <si>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</si>
  <si>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</si>
  <si>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</si>
  <si>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</si>
  <si>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</si>
  <si>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</si>
  <si>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</si>
  <si>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</si>
  <si>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</si>
  <si>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</si>
  <si>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</si>
  <si>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</si>
  <si>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</si>
  <si>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</si>
  <si>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</si>
  <si>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</si>
  <si>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</si>
  <si>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</si>
  <si>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</si>
  <si>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</si>
  <si>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</si>
  <si>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</si>
  <si>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</si>
  <si>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</si>
  <si>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</si>
  <si>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</si>
  <si>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</si>
  <si>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</si>
  <si>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</si>
  <si>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</si>
  <si>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</si>
  <si>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</si>
  <si>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</si>
  <si>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</si>
  <si>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</si>
  <si>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</si>
  <si>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</si>
  <si>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</si>
  <si>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</si>
  <si>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</si>
  <si>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</si>
  <si>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</si>
  <si>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</si>
  <si>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</si>
  <si>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</si>
  <si>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</si>
  <si>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</si>
  <si>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</si>
  <si>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</si>
  <si>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</si>
  <si>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</si>
  <si>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</si>
  <si>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</si>
  <si>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</si>
  <si>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</si>
  <si>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</si>
  <si>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</si>
  <si>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</si>
  <si>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</si>
  <si>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</si>
  <si>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</si>
  <si>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</si>
  <si>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</si>
  <si>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</si>
  <si>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</si>
  <si>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</si>
  <si>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</si>
  <si>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</si>
  <si>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</si>
  <si>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</si>
  <si>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</si>
  <si>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</si>
  <si>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</si>
  <si>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</si>
  <si>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</si>
  <si>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</si>
  <si>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</si>
  <si>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</si>
  <si>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</si>
  <si>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</si>
  <si>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</si>
  <si>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</si>
  <si>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</si>
  <si>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</si>
  <si>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</si>
  <si>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</si>
  <si>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</si>
  <si>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</si>
  <si>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</si>
  <si>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</si>
  <si>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</si>
  <si>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</si>
  <si>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</si>
  <si>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</si>
  <si>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</si>
  <si>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</si>
  <si>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</si>
  <si>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</si>
  <si>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</si>
  <si>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</si>
  <si>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</si>
  <si>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</si>
  <si>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</si>
  <si>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</si>
  <si>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</si>
  <si>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</si>
  <si>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</si>
  <si>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</si>
  <si>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</si>
  <si>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</si>
  <si>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</si>
  <si>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</si>
  <si>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</si>
  <si>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</si>
  <si>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</si>
  <si>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</si>
  <si>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</si>
  <si>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</si>
  <si>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</si>
  <si>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</si>
  <si>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</si>
  <si>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</si>
  <si>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</si>
  <si>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</si>
  <si>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</si>
  <si>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</si>
  <si>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</si>
  <si>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</si>
  <si>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</si>
  <si>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</si>
  <si>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</si>
  <si>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</si>
  <si>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</si>
  <si>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</si>
  <si>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</si>
  <si>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</si>
  <si>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</si>
  <si>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</si>
  <si>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</si>
  <si>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</si>
  <si>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</si>
  <si>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</si>
  <si>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</si>
  <si>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</si>
  <si>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</si>
  <si>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</si>
  <si>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</si>
  <si>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</si>
  <si>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</si>
  <si>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</si>
  <si>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</si>
  <si>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</si>
  <si>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</si>
  <si>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</si>
  <si>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</si>
  <si>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</si>
  <si>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</si>
  <si>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</si>
  <si>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</si>
  <si>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</si>
  <si>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</si>
  <si>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</si>
  <si>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</si>
  <si>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</si>
  <si>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</si>
  <si>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</si>
  <si>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</si>
  <si>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</si>
  <si>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</si>
  <si>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</si>
  <si>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</si>
  <si>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</si>
  <si>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</si>
  <si>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</si>
  <si>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</si>
  <si>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</si>
  <si>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</si>
  <si>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</si>
  <si>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</si>
  <si>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</si>
  <si>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</si>
  <si>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</si>
  <si>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</si>
  <si>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</si>
  <si>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</si>
  <si>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</si>
  <si>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</si>
  <si>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</si>
  <si>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</si>
  <si>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</si>
  <si>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</si>
  <si>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</si>
  <si>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</si>
  <si>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</si>
  <si>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</si>
  <si>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</si>
  <si>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</si>
  <si>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</si>
  <si>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</si>
  <si>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</si>
  <si>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</si>
  <si>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</si>
  <si>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</si>
  <si>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</si>
  <si>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</si>
  <si>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</si>
  <si>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</si>
  <si>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</si>
  <si>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</si>
  <si>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</si>
  <si>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</si>
  <si>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</si>
  <si>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</si>
  <si>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</si>
  <si>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</si>
  <si>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</si>
  <si>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</si>
  <si>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</si>
  <si>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</si>
  <si>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</si>
  <si>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</si>
  <si>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</si>
  <si>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</si>
  <si>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</si>
  <si>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</si>
  <si>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</si>
  <si>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</si>
  <si>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</si>
  <si>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</si>
  <si>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</si>
  <si>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</si>
  <si>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</si>
  <si>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</si>
  <si>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</si>
  <si>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</si>
  <si>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</si>
  <si>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</si>
  <si>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</si>
  <si>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</si>
  <si>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</si>
  <si>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</si>
  <si>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</si>
  <si>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</si>
  <si>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</si>
  <si>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</si>
  <si>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</si>
  <si>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</si>
  <si>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</si>
  <si>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</si>
  <si>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</si>
  <si>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</si>
  <si>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</si>
  <si>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</si>
  <si>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</si>
  <si>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</si>
  <si>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</si>
  <si>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</si>
  <si>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</si>
  <si>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</si>
  <si>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</si>
  <si>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</si>
  <si>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</si>
  <si>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</si>
  <si>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</si>
  <si>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</si>
  <si>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</si>
  <si>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</si>
  <si>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</si>
  <si>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</si>
  <si>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</si>
  <si>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</si>
  <si>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</si>
  <si>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</si>
  <si>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</si>
  <si>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</si>
  <si>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</si>
  <si>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</si>
  <si>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</si>
  <si>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</si>
  <si>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</si>
  <si>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</si>
  <si>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</si>
  <si>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</si>
  <si>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</si>
  <si>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</si>
  <si>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</si>
  <si>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</si>
  <si>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</si>
  <si>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</si>
  <si>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</si>
  <si>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</si>
  <si>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</si>
  <si>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</si>
  <si>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</si>
  <si>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</si>
  <si>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</si>
  <si>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</si>
  <si>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</si>
  <si>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</si>
  <si>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</si>
  <si>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</si>
  <si>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</si>
  <si>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</si>
  <si>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</si>
  <si>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</si>
  <si>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</si>
  <si>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</si>
  <si>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</si>
  <si>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</si>
  <si>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</si>
  <si>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</si>
  <si>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</si>
  <si>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</si>
  <si>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</si>
  <si>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</si>
  <si>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</si>
  <si>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</si>
  <si>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</si>
  <si>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</si>
  <si>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</si>
  <si>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</si>
  <si>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</si>
  <si>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</si>
  <si>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</si>
  <si>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</si>
  <si>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</si>
  <si>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</si>
  <si>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</si>
  <si>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</si>
  <si>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</si>
  <si>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</si>
  <si>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</si>
  <si>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</si>
  <si>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</si>
  <si>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</si>
  <si>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</si>
  <si>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</si>
  <si>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</si>
  <si>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</si>
  <si>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</si>
  <si>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</si>
  <si>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</si>
  <si>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</si>
  <si>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</si>
  <si>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</si>
  <si>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</si>
  <si>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</si>
  <si>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</si>
  <si>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</si>
  <si>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</si>
  <si>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</si>
  <si>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</si>
  <si>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</si>
  <si>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</si>
  <si>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</si>
  <si>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</si>
  <si>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</si>
  <si>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</si>
  <si>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</si>
  <si>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</si>
  <si>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</si>
  <si>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</si>
  <si>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</si>
  <si>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</si>
  <si>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</si>
  <si>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</si>
  <si>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</si>
  <si>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</si>
  <si>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</si>
  <si>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</si>
  <si>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</si>
  <si>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</si>
  <si>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</si>
  <si>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</si>
  <si>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</si>
  <si>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</si>
  <si>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</si>
  <si>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</si>
  <si>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</si>
  <si>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</si>
  <si>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</si>
  <si>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</si>
  <si>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</si>
  <si>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</si>
  <si>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</si>
  <si>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</si>
  <si>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</si>
  <si>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</si>
  <si>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</si>
  <si>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</si>
  <si>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</si>
  <si>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</si>
  <si>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</si>
  <si>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</si>
  <si>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</si>
  <si>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</si>
  <si>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</si>
  <si>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</si>
  <si>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</si>
  <si>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</si>
  <si>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</si>
  <si>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</si>
  <si>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</si>
  <si>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</si>
  <si>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</si>
  <si>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</si>
  <si>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</si>
  <si>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</si>
  <si>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</si>
  <si>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</si>
  <si>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</si>
  <si>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</si>
  <si>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</si>
  <si>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</si>
  <si>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</si>
  <si>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</si>
  <si>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</si>
  <si>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</si>
  <si>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</si>
  <si>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</si>
  <si>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</si>
  <si>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</si>
  <si>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</si>
  <si>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</si>
  <si>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</si>
  <si>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</si>
  <si>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</si>
  <si>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</si>
  <si>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</si>
  <si>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</si>
  <si>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</si>
  <si>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</si>
  <si>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</si>
  <si>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</si>
  <si>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</si>
  <si>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</si>
  <si>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</si>
  <si>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</si>
  <si>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</si>
  <si>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</si>
  <si>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</si>
  <si>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</si>
  <si>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</si>
  <si>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</si>
  <si>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</si>
  <si>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</si>
  <si>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</si>
  <si>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</si>
  <si>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</si>
  <si>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</si>
  <si>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</si>
  <si>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</si>
  <si>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</si>
  <si>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</si>
  <si>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</si>
  <si>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</si>
  <si>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</si>
  <si>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</si>
  <si>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</si>
  <si>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</si>
  <si>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</si>
  <si>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</si>
  <si>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</si>
  <si>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</si>
  <si>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</si>
  <si>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</si>
  <si>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</si>
  <si>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</si>
  <si>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</si>
  <si>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</si>
  <si>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</si>
  <si>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</si>
  <si>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</si>
  <si>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</si>
  <si>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</si>
  <si>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</si>
  <si>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</si>
  <si>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</si>
  <si>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</si>
  <si>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</si>
  <si>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</si>
  <si>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</si>
  <si>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</si>
  <si>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</si>
  <si>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</si>
  <si>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</si>
  <si>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</si>
  <si>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</si>
  <si>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</si>
  <si>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</si>
  <si>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</si>
  <si>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</si>
  <si>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</si>
  <si>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</si>
  <si>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</si>
  <si>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</si>
  <si>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</si>
  <si>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</si>
  <si>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</si>
  <si>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</si>
  <si>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</si>
  <si>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</si>
  <si>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</si>
  <si>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</si>
  <si>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</si>
  <si>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</si>
  <si>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</si>
  <si>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</si>
  <si>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</si>
  <si>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</si>
  <si>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</si>
  <si>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</si>
  <si>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</si>
  <si>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</si>
  <si>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</si>
  <si>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</si>
  <si>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</si>
  <si>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</si>
  <si>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</si>
  <si>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</si>
  <si>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</si>
  <si>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</si>
  <si>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</si>
  <si>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</si>
  <si>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</si>
  <si>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</si>
  <si>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</si>
  <si>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</si>
  <si>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</si>
  <si>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</si>
  <si>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</si>
  <si>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</si>
  <si>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</si>
  <si>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</si>
  <si>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</si>
  <si>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</si>
  <si>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</si>
  <si>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</si>
  <si>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</si>
  <si>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</si>
  <si>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</si>
  <si>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</si>
  <si>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</si>
  <si>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</si>
  <si>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</si>
  <si>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</si>
  <si>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</si>
  <si>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</si>
  <si>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</si>
  <si>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</si>
  <si>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</si>
  <si>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</si>
  <si>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</si>
  <si>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</si>
  <si>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</si>
  <si>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</si>
  <si>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</si>
  <si>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</si>
  <si>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</si>
  <si>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</si>
  <si>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</si>
  <si>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</si>
  <si>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</si>
  <si>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</si>
  <si>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</si>
  <si>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</si>
  <si>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</si>
  <si>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</si>
  <si>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</si>
  <si>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</si>
  <si>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</si>
  <si>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</si>
  <si>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</si>
  <si>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</si>
  <si>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</si>
  <si>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</si>
  <si>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</si>
  <si>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</si>
  <si>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</si>
  <si>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</si>
  <si>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</si>
  <si>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</si>
  <si>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</si>
  <si>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</si>
  <si>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</si>
  <si>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</si>
  <si>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</si>
  <si>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</si>
  <si>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</si>
  <si>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</si>
  <si>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</si>
  <si>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</si>
  <si>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</si>
  <si>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</si>
  <si>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</si>
  <si>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</si>
  <si>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</si>
  <si>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</si>
  <si>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</si>
  <si>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</si>
  <si>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</si>
  <si>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</si>
  <si>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</si>
  <si>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</si>
  <si>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</si>
  <si>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</si>
  <si>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</si>
  <si>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</si>
  <si>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</si>
  <si>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</si>
  <si>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</si>
  <si>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</si>
  <si>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</si>
  <si>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</si>
  <si>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</si>
  <si>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</si>
  <si>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</si>
  <si>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</si>
  <si>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</si>
  <si>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</si>
  <si>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</si>
  <si>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</si>
  <si>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</si>
  <si>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</si>
  <si>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</si>
  <si>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</si>
  <si>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</si>
  <si>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</si>
  <si>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</si>
  <si>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</si>
  <si>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</si>
  <si>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</si>
  <si>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</si>
  <si>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</si>
  <si>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</si>
  <si>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</si>
  <si>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</si>
  <si>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</si>
  <si>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</si>
  <si>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</si>
  <si>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</si>
  <si>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</si>
  <si>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</si>
  <si>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</si>
  <si>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</si>
  <si>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</si>
  <si>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</si>
  <si>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</si>
  <si>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</si>
  <si>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</si>
  <si>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</si>
  <si>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</si>
  <si>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</si>
  <si>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</si>
  <si>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</si>
  <si>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</si>
  <si>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</si>
  <si>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</si>
  <si>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</si>
  <si>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</si>
  <si>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</si>
  <si>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</si>
  <si>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</si>
  <si>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</si>
  <si>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</si>
  <si>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</si>
  <si>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</si>
  <si>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</si>
  <si>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</si>
  <si>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</si>
  <si>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</si>
  <si>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</si>
  <si>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</si>
  <si>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</si>
  <si>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</si>
  <si>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</si>
  <si>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</si>
  <si>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</si>
  <si>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</si>
  <si>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</si>
  <si>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</si>
  <si>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</si>
  <si>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</si>
  <si>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</si>
  <si>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</si>
  <si>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</si>
  <si>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</si>
  <si>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</si>
  <si>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</si>
  <si>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</si>
  <si>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</si>
  <si>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</si>
  <si>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</si>
  <si>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</si>
  <si>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</si>
  <si>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</si>
  <si>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</si>
  <si>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</si>
  <si>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</si>
  <si>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</si>
  <si>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</si>
  <si>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</si>
  <si>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</si>
  <si>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</si>
  <si>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</si>
  <si>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</si>
  <si>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</si>
  <si>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</si>
  <si>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</si>
  <si>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</si>
  <si>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</si>
  <si>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</si>
  <si>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</si>
  <si>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</si>
  <si>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</si>
  <si>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</si>
  <si>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</si>
  <si>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</si>
  <si>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</si>
  <si>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</si>
  <si>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</si>
  <si>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</si>
  <si>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</si>
  <si>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</si>
  <si>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</si>
  <si>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</si>
  <si>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</si>
  <si>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</si>
  <si>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</si>
  <si>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</si>
  <si>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</si>
  <si>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</si>
  <si>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</si>
  <si>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</si>
  <si>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</si>
  <si>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</si>
  <si>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</si>
  <si>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</si>
  <si>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</si>
  <si>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</si>
  <si>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</si>
  <si>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</si>
  <si>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</si>
  <si>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</si>
  <si>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</si>
  <si>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</si>
  <si>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</si>
  <si>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</si>
  <si>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</si>
  <si>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</si>
  <si>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</si>
  <si>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</si>
  <si>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</si>
  <si>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</si>
  <si>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</si>
  <si>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</si>
  <si>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</si>
  <si>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</si>
  <si>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</si>
  <si>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</si>
  <si>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</si>
  <si>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</si>
  <si>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</si>
  <si>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</si>
  <si>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</si>
  <si>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</si>
  <si>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</si>
  <si>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</si>
  <si>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</si>
  <si>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</si>
  <si>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</si>
  <si>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</si>
  <si>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</si>
  <si>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</si>
  <si>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</si>
  <si>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</si>
  <si>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</si>
  <si>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</si>
  <si>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</si>
  <si>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</si>
  <si>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</si>
  <si>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</si>
  <si>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</si>
  <si>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</si>
  <si>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</si>
  <si>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</si>
  <si>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</si>
  <si>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</si>
  <si>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</si>
  <si>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</si>
  <si>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</si>
  <si>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</si>
  <si>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</si>
  <si>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</si>
  <si>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</si>
  <si>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</si>
  <si>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</si>
  <si>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</si>
  <si>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</si>
  <si>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</si>
  <si>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</si>
  <si>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</si>
  <si>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</si>
  <si>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</si>
  <si>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</si>
  <si>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</si>
  <si>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</si>
  <si>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</si>
  <si>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</si>
  <si>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</si>
  <si>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</si>
  <si>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</si>
  <si>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</si>
  <si>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</si>
  <si>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</si>
  <si>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</si>
  <si>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</si>
  <si>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</si>
  <si>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</si>
  <si>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</si>
  <si>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</si>
  <si>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</si>
  <si>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</si>
  <si>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</si>
  <si>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</si>
  <si>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</si>
  <si>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</si>
  <si>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</si>
  <si>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</si>
  <si>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</si>
  <si>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</si>
  <si>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</si>
  <si>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</si>
  <si>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</si>
  <si>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</si>
  <si>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</si>
  <si>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</si>
  <si>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</si>
  <si>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</si>
  <si>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</si>
  <si>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</si>
  <si>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</si>
  <si>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</si>
  <si>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</si>
  <si>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</si>
  <si>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</si>
  <si>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</si>
  <si>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</si>
  <si>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</si>
  <si>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</si>
  <si>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</si>
  <si>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</si>
  <si>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</si>
  <si>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</si>
  <si>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</si>
  <si>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</si>
  <si>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</si>
  <si>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</si>
  <si>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</si>
  <si>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</si>
  <si>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</si>
  <si>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</si>
  <si>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</si>
  <si>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</si>
  <si>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</si>
  <si>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</si>
  <si>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</si>
  <si>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</si>
  <si>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</si>
  <si>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</si>
  <si>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</si>
  <si>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</si>
  <si>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</si>
  <si>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</si>
  <si>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</si>
  <si>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</si>
  <si>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</si>
  <si>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</si>
  <si>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</si>
  <si>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</si>
  <si>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</si>
  <si>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</si>
  <si>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</si>
  <si>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</si>
  <si>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</si>
  <si>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</si>
  <si>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</si>
  <si>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</si>
  <si>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</si>
  <si>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</si>
  <si>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</si>
  <si>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</si>
  <si>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</si>
  <si>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</si>
  <si>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</si>
  <si>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</si>
  <si>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</si>
  <si>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</si>
  <si>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</si>
  <si>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</si>
  <si>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</si>
  <si>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</si>
  <si>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</si>
  <si>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</si>
  <si>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</si>
  <si>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</si>
  <si>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</si>
  <si>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</si>
  <si>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</si>
  <si>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</si>
  <si>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</si>
  <si>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</si>
  <si>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</si>
  <si>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</si>
  <si>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</si>
  <si>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</si>
  <si>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</si>
  <si>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</si>
  <si>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</si>
  <si>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</si>
  <si>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</si>
  <si>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</si>
  <si>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</si>
  <si>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</si>
  <si>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</si>
  <si>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</si>
  <si>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</si>
  <si>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</si>
  <si>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</si>
  <si>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</si>
  <si>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</si>
  <si>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</si>
  <si>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</si>
  <si>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</si>
  <si>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</si>
  <si>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</si>
  <si>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</si>
  <si>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</si>
  <si>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</si>
  <si>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</si>
  <si>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</si>
  <si>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</si>
  <si>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</si>
  <si>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</si>
  <si>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</si>
  <si>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</si>
  <si>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</si>
  <si>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</si>
  <si>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</si>
  <si>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</si>
  <si>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</si>
  <si>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</si>
  <si>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</si>
  <si>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</si>
  <si>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</si>
  <si>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</si>
  <si>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</si>
  <si>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</si>
  <si>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</si>
  <si>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</si>
  <si>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</si>
  <si>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</si>
  <si>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</si>
  <si>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</si>
  <si>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</si>
  <si>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</si>
  <si>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</si>
  <si>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</si>
  <si>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</si>
  <si>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</si>
  <si>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</si>
  <si>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</si>
  <si>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</si>
  <si>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</si>
  <si>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</si>
  <si>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</si>
  <si>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</si>
  <si>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</si>
  <si>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</si>
  <si>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</si>
  <si>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</si>
  <si>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</si>
  <si>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</si>
  <si>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</si>
  <si>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</si>
  <si>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</si>
  <si>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</si>
  <si>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</si>
  <si>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</si>
  <si>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</si>
  <si>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</si>
  <si>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</si>
  <si>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</si>
  <si>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</si>
  <si>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</si>
  <si>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</si>
  <si>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</si>
  <si>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</si>
  <si>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</si>
  <si>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</si>
  <si>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</si>
  <si>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</si>
  <si>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</si>
  <si>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</si>
  <si>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</si>
  <si>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</si>
  <si>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</si>
  <si>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</si>
  <si>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</si>
  <si>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</si>
  <si>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</si>
  <si>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</si>
  <si>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</si>
  <si>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</si>
  <si>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</si>
  <si>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</si>
  <si>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</si>
  <si>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</si>
  <si>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</si>
  <si>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</si>
  <si>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</si>
  <si>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</si>
  <si>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</si>
  <si>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</si>
  <si>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</si>
  <si>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</si>
  <si>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</si>
  <si>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</si>
  <si>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</si>
  <si>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</si>
  <si>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</si>
  <si>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</si>
  <si>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</si>
  <si>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</si>
  <si>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</si>
  <si>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</si>
  <si>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</si>
  <si>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</si>
  <si>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</si>
  <si>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</si>
  <si>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</si>
  <si>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</si>
  <si>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</si>
  <si>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</si>
  <si>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</si>
  <si>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</si>
  <si>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</si>
  <si>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</si>
  <si>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</si>
  <si>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</si>
  <si>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</si>
  <si>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</si>
  <si>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</si>
  <si>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</si>
  <si>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</si>
  <si>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</si>
  <si>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</si>
  <si>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</si>
  <si>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</si>
  <si>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</si>
  <si>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</si>
  <si>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</si>
  <si>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</si>
  <si>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</si>
  <si>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</si>
  <si>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</si>
  <si>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</si>
  <si>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</si>
  <si>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</si>
  <si>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</si>
  <si>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</si>
  <si>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</si>
  <si>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</si>
  <si>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</si>
  <si>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</si>
  <si>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</si>
  <si>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</si>
  <si>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</si>
  <si>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</si>
  <si>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</si>
  <si>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</si>
  <si>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</si>
  <si>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</si>
  <si>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</si>
  <si>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</si>
  <si>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</si>
  <si>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</si>
  <si>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</si>
  <si>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</si>
  <si>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</si>
  <si>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</si>
  <si>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</si>
  <si>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</si>
  <si>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</si>
  <si>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</si>
  <si>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</si>
  <si>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</si>
  <si>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</si>
  <si>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</si>
  <si>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</si>
  <si>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</si>
  <si>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</si>
  <si>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</si>
  <si>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</si>
  <si>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</si>
  <si>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</si>
  <si>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</si>
  <si>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</si>
  <si>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</si>
  <si>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</si>
  <si>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</si>
  <si>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</si>
  <si>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</si>
  <si>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</si>
  <si>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</si>
  <si>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</si>
  <si>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</si>
  <si>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</si>
  <si>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</si>
  <si>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</si>
  <si>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</si>
  <si>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</si>
  <si>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</si>
  <si>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</si>
  <si>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</si>
  <si>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</si>
  <si>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</si>
  <si>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</si>
  <si>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</si>
  <si>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</si>
  <si>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</si>
  <si>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</si>
  <si>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</si>
  <si>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</si>
  <si>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</si>
  <si>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</si>
  <si>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</si>
  <si>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</si>
  <si>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</si>
  <si>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</si>
  <si>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</si>
  <si>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</si>
  <si>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</si>
  <si>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</si>
  <si>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</si>
  <si>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</si>
  <si>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</si>
  <si>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</si>
  <si>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</si>
  <si>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</si>
  <si>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</si>
  <si>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</si>
  <si>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</si>
  <si>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</si>
  <si>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</si>
  <si>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</si>
  <si>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</si>
  <si>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</si>
  <si>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</si>
  <si>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</si>
  <si>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</si>
  <si>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</si>
  <si>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</si>
  <si>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</si>
  <si>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</si>
  <si>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</si>
  <si>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</si>
  <si>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</si>
  <si>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</si>
  <si>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</si>
  <si>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</si>
  <si>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</si>
  <si>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</si>
  <si>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</si>
  <si>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</si>
  <si>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</si>
  <si>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</si>
  <si>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</si>
  <si>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</si>
  <si>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</si>
  <si>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</si>
  <si>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</si>
  <si>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</si>
  <si>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</si>
  <si>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</si>
  <si>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</si>
  <si>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</si>
  <si>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</si>
  <si>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</si>
  <si>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</si>
  <si>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</si>
  <si>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</si>
  <si>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</si>
  <si>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</si>
  <si>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</si>
  <si>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</si>
  <si>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</si>
  <si>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</si>
  <si>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</si>
  <si>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</si>
  <si>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</si>
  <si>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</si>
  <si>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</si>
  <si>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</si>
  <si>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</si>
  <si>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</si>
  <si>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</si>
  <si>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</si>
  <si>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</si>
  <si>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</si>
  <si>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</si>
  <si>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</si>
  <si>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</si>
  <si>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</si>
  <si>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</si>
  <si>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</si>
  <si>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</si>
  <si>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</si>
  <si>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</si>
  <si>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</si>
  <si>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</si>
  <si>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</si>
  <si>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</si>
  <si>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</si>
  <si>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</si>
  <si>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</si>
  <si>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</si>
  <si>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</si>
  <si>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</si>
  <si>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</si>
  <si>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</si>
  <si>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</si>
  <si>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</si>
  <si>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</si>
  <si>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</si>
  <si>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</si>
  <si>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</si>
  <si>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</si>
  <si>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</si>
  <si>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</si>
  <si>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</si>
  <si>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</si>
  <si>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</si>
  <si>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</si>
  <si>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</si>
  <si>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</si>
  <si>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</si>
  <si>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</si>
  <si>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</si>
  <si>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</si>
  <si>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</si>
  <si>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</si>
  <si>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</si>
  <si>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</si>
  <si>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</si>
  <si>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</si>
  <si>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</si>
  <si>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</si>
  <si>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</si>
  <si>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</si>
  <si>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</si>
  <si>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</si>
  <si>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</si>
  <si>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</si>
  <si>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</si>
  <si>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</si>
  <si>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</si>
  <si>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</si>
  <si>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</si>
  <si>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</si>
  <si>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</si>
  <si>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</si>
  <si>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</si>
  <si>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</si>
  <si>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</si>
  <si>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</si>
  <si>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</si>
  <si>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</si>
  <si>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</si>
  <si>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</si>
  <si>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</si>
  <si>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</si>
  <si>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</si>
  <si>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</si>
  <si>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</si>
  <si>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</si>
  <si>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</si>
  <si>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</si>
  <si>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</si>
  <si>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</si>
  <si>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</si>
  <si>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</si>
  <si>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</si>
  <si>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</si>
  <si>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</si>
  <si>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</si>
  <si>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</si>
  <si>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</si>
  <si>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</si>
  <si>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</si>
  <si>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</si>
  <si>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</si>
  <si>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</si>
  <si>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</si>
  <si>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</si>
  <si>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</si>
  <si>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</si>
  <si>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</si>
  <si>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</si>
  <si>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</si>
  <si>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</si>
  <si>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</si>
  <si>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</si>
  <si>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</si>
  <si>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</si>
  <si>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</si>
  <si>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</si>
  <si>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</si>
  <si>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</si>
  <si>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</si>
  <si>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</si>
  <si>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</si>
  <si>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</si>
  <si>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</si>
  <si>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</si>
  <si>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</si>
  <si>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</si>
  <si>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</si>
  <si>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</si>
  <si>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</si>
  <si>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</si>
  <si>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</si>
  <si>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</si>
  <si>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</si>
  <si>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</si>
  <si>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</si>
  <si>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</si>
  <si>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</si>
  <si>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</si>
  <si>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</si>
  <si>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</si>
  <si>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</si>
  <si>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</si>
  <si>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</si>
  <si>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</si>
  <si>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</si>
  <si>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</si>
  <si>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</si>
  <si>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</si>
  <si>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</si>
  <si>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</si>
  <si>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</si>
  <si>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</si>
  <si>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</si>
  <si>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</si>
  <si>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</si>
  <si>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</si>
  <si>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</si>
  <si>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</si>
  <si>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</si>
  <si>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</si>
  <si>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</si>
  <si>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</si>
  <si>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</si>
  <si>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</si>
  <si>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</si>
  <si>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</si>
  <si>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</si>
  <si>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</si>
  <si>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</si>
  <si>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</si>
  <si>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</si>
  <si>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</si>
  <si>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</si>
  <si>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</si>
  <si>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</si>
  <si>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</si>
  <si>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</si>
  <si>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</si>
  <si>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</si>
  <si>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</si>
  <si>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</si>
  <si>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</si>
  <si>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</si>
  <si>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</si>
  <si>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</si>
  <si>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</si>
  <si>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</si>
  <si>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</si>
  <si>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</si>
  <si>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</si>
  <si>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</si>
  <si>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</si>
  <si>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</si>
  <si>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</si>
  <si>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</si>
  <si>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</si>
  <si>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</si>
  <si>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</si>
  <si>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</si>
  <si>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</si>
  <si>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</si>
  <si>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</si>
  <si>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</si>
  <si>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</si>
  <si>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</si>
  <si>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</si>
  <si>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</si>
  <si>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</si>
  <si>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</si>
  <si>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</si>
  <si>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</si>
  <si>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</si>
  <si>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</si>
  <si>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</si>
  <si>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</si>
  <si>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</si>
  <si>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</si>
  <si>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</si>
  <si>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</si>
  <si>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</si>
  <si>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</si>
  <si>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</si>
  <si>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</si>
  <si>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</si>
  <si>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</si>
  <si>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</si>
  <si>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</si>
  <si>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</si>
  <si>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</si>
  <si>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</si>
  <si>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</si>
  <si>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</si>
  <si>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</si>
  <si>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</si>
  <si>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</si>
  <si>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</si>
  <si>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</si>
  <si>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</si>
  <si>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</si>
  <si>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</si>
  <si>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</si>
  <si>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</si>
  <si>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</si>
  <si>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</si>
  <si>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</si>
  <si>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</si>
  <si>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</si>
  <si>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</si>
  <si>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</si>
  <si>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</si>
  <si>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</si>
  <si>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</si>
  <si>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</si>
  <si>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</si>
  <si>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</si>
  <si>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</si>
  <si>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</si>
  <si>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</si>
  <si>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</si>
  <si>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</si>
  <si>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</si>
  <si>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</si>
  <si>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</si>
  <si>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</si>
  <si>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</si>
  <si>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</si>
  <si>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</si>
  <si>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</si>
  <si>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</si>
  <si>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</si>
  <si>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</si>
  <si>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</si>
  <si>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</si>
  <si>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</si>
  <si>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</si>
  <si>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</si>
  <si>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</si>
  <si>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</si>
  <si>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</si>
  <si>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</si>
  <si>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</si>
  <si>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</si>
  <si>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</si>
  <si>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</si>
  <si>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</si>
  <si>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</si>
  <si>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</si>
  <si>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</si>
  <si>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</si>
  <si>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</si>
  <si>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</si>
  <si>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</si>
  <si>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</si>
  <si>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</si>
  <si>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</si>
  <si>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</si>
  <si>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</si>
  <si>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</si>
  <si>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</si>
  <si>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</si>
  <si>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</si>
  <si>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</si>
  <si>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</si>
  <si>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</si>
  <si>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</si>
  <si>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</si>
  <si>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</si>
  <si>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</si>
  <si>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</si>
  <si>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</si>
  <si>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</si>
  <si>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</si>
  <si>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</si>
  <si>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</si>
  <si>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</si>
  <si>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</si>
  <si>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</si>
  <si>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</si>
  <si>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</si>
  <si>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</si>
  <si>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</si>
  <si>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</si>
  <si>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</si>
  <si>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</si>
  <si>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</si>
  <si>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</si>
  <si>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</si>
  <si>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</si>
  <si>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</si>
  <si>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</si>
  <si>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</si>
  <si>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</si>
  <si>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</si>
  <si>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</si>
  <si>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</si>
  <si>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</si>
  <si>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</si>
  <si>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</si>
  <si>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</si>
  <si>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</si>
  <si>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</si>
  <si>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</si>
  <si>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</si>
  <si>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</si>
  <si>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</si>
  <si>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</si>
  <si>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</si>
  <si>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</si>
  <si>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</si>
  <si>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</si>
  <si>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</si>
  <si>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</si>
  <si>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</si>
  <si>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</si>
  <si>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</si>
  <si>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</si>
  <si>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</si>
  <si>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</si>
  <si>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</si>
  <si>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</si>
  <si>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</si>
  <si>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</si>
  <si>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</si>
  <si>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</si>
  <si>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</si>
  <si>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</si>
  <si>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</si>
  <si>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</si>
  <si>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</si>
  <si>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</si>
  <si>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</si>
  <si>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</si>
  <si>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</si>
  <si>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</si>
  <si>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</si>
  <si>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</si>
  <si>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</si>
  <si>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</si>
  <si>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</si>
  <si>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</si>
  <si>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</si>
  <si>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</si>
  <si>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</si>
  <si>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</si>
  <si>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</si>
  <si>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</si>
  <si>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</si>
  <si>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</si>
  <si>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</si>
  <si>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</si>
  <si>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</si>
  <si>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</si>
  <si>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</si>
  <si>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</si>
  <si>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</si>
  <si>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</si>
  <si>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</si>
  <si>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</si>
  <si>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</si>
  <si>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</si>
  <si>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</si>
  <si>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</si>
  <si>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</si>
  <si>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</si>
  <si>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</si>
  <si>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</si>
  <si>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</si>
  <si>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</si>
  <si>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</si>
  <si>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</si>
  <si>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</si>
  <si>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</si>
  <si>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</si>
  <si>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</si>
  <si>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</si>
  <si>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</si>
  <si>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</si>
  <si>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</si>
  <si>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</si>
  <si>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</si>
  <si>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</si>
  <si>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</si>
  <si>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</si>
  <si>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</si>
  <si>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</si>
  <si>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</si>
  <si>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</si>
  <si>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</si>
  <si>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</si>
  <si>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</si>
  <si>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</si>
  <si>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</si>
  <si>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</si>
  <si>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</si>
  <si>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</si>
  <si>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</si>
  <si>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</si>
  <si>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</si>
  <si>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</si>
  <si>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</si>
  <si>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</si>
  <si>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</si>
  <si>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</si>
  <si>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</si>
  <si>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</si>
  <si>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</si>
  <si>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</si>
  <si>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</si>
  <si>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</si>
  <si>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</si>
  <si>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</si>
  <si>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</si>
  <si>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</si>
  <si>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</si>
  <si>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</si>
  <si>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</si>
  <si>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</si>
  <si>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</si>
  <si>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</si>
  <si>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</si>
  <si>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</si>
  <si>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</si>
  <si>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</si>
  <si>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</si>
  <si>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</si>
  <si>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</si>
  <si>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</si>
  <si>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</si>
  <si>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</si>
  <si>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</si>
  <si>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</si>
  <si>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</si>
  <si>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</si>
  <si>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</si>
  <si>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</si>
  <si>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</si>
  <si>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</si>
  <si>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</si>
  <si>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</si>
  <si>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</si>
  <si>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</si>
  <si>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</si>
  <si>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</si>
  <si>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</si>
  <si>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</si>
  <si>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</si>
  <si>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</si>
  <si>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</si>
  <si>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</si>
  <si>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</si>
  <si>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</si>
  <si>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</si>
  <si>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</si>
  <si>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</si>
  <si>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</si>
  <si>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</si>
  <si>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</si>
  <si>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</si>
  <si>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</si>
  <si>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</si>
  <si>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</si>
  <si>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</si>
  <si>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</si>
  <si>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</si>
  <si>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</si>
  <si>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</si>
  <si>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</si>
  <si>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</si>
  <si>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</si>
  <si>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</si>
  <si>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</si>
  <si>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</si>
  <si>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</si>
  <si>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</si>
  <si>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</si>
  <si>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</si>
  <si>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</si>
  <si>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</si>
  <si>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</si>
  <si>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</si>
  <si>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</si>
  <si>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</si>
  <si>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</si>
  <si>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</si>
  <si>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</si>
  <si>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</si>
  <si>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</si>
  <si>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</si>
  <si>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</si>
  <si>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</si>
  <si>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</si>
  <si>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</si>
  <si>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</si>
  <si>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</si>
  <si>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</si>
  <si>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</si>
  <si>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</si>
  <si>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</si>
  <si>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</si>
  <si>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</si>
  <si>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</si>
  <si>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</si>
  <si>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</si>
  <si>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</si>
  <si>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</si>
  <si>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</si>
  <si>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</si>
  <si>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</si>
  <si>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</si>
  <si>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</si>
  <si>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</si>
  <si>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</si>
  <si>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</si>
  <si>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</si>
  <si>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</si>
  <si>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</si>
  <si>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</si>
  <si>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</si>
  <si>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</si>
  <si>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</si>
  <si>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</si>
  <si>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</si>
  <si>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</si>
  <si>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</si>
  <si>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</si>
  <si>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</si>
  <si>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</si>
  <si>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</si>
  <si>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</si>
  <si>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</si>
  <si>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</si>
  <si>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</si>
  <si>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</si>
  <si>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</si>
  <si>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</si>
  <si>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</si>
  <si>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</si>
  <si>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</si>
  <si>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</si>
  <si>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</si>
  <si>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</si>
  <si>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</si>
  <si>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</si>
  <si>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</si>
  <si>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</si>
  <si>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</si>
  <si>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</si>
  <si>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</si>
  <si>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</si>
  <si>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</si>
  <si>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</si>
  <si>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</si>
  <si>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</si>
  <si>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</si>
  <si>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</si>
  <si>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</si>
  <si>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</si>
  <si>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</si>
  <si>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</si>
  <si>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</si>
  <si>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</si>
  <si>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</si>
  <si>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</si>
  <si>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</si>
  <si>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</si>
  <si>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</si>
  <si>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</si>
  <si>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</si>
  <si>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</si>
  <si>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</si>
  <si>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</si>
  <si>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</si>
  <si>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</si>
  <si>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</si>
  <si>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</si>
  <si>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</si>
  <si>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</si>
  <si>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</si>
  <si>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</si>
  <si>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</si>
  <si>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</si>
  <si>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</si>
  <si>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</si>
  <si>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</si>
  <si>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</si>
  <si>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</si>
  <si>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</si>
  <si>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</si>
  <si>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</si>
  <si>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</si>
  <si>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</si>
  <si>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</si>
  <si>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</si>
  <si>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</si>
  <si>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</si>
  <si>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</si>
  <si>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</si>
  <si>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</si>
  <si>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</si>
  <si>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</si>
  <si>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</si>
  <si>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</si>
  <si>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</si>
  <si>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</si>
  <si>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</si>
  <si>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</si>
  <si>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</si>
  <si>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</si>
  <si>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</si>
  <si>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</si>
  <si>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</si>
  <si>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</si>
  <si>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</si>
  <si>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</si>
  <si>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</si>
  <si>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</si>
  <si>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</si>
  <si>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</si>
  <si>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</si>
  <si>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</si>
  <si>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</si>
  <si>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</si>
  <si>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</si>
  <si>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</si>
  <si>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</si>
  <si>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</si>
  <si>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</si>
  <si>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</si>
  <si>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</si>
  <si>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</si>
  <si>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</si>
  <si>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</si>
  <si>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</si>
  <si>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</si>
  <si>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</si>
  <si>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</si>
  <si>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</si>
  <si>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</si>
  <si>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</si>
  <si>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</si>
  <si>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</si>
  <si>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Sparrow Pointe</t>
  </si>
  <si>
    <t>2020-030</t>
  </si>
  <si>
    <t>DDER Development, LLC</t>
  </si>
  <si>
    <t>Deion Lowery</t>
  </si>
  <si>
    <t>Kissimmee</t>
  </si>
  <si>
    <t>steve.auger@birdsonghousing.com</t>
  </si>
  <si>
    <t>Steve Auger</t>
  </si>
  <si>
    <t>CEO</t>
  </si>
  <si>
    <t>1301 Martha Berry Blvd</t>
  </si>
  <si>
    <t>1388 Martha Berry Blvd NE, Rome, GA 30165</t>
  </si>
  <si>
    <t>City Limits</t>
  </si>
  <si>
    <t>City of Rome</t>
  </si>
  <si>
    <t>Mayor</t>
  </si>
  <si>
    <t>601 Broad Street</t>
  </si>
  <si>
    <t>www.romefloyd.com</t>
  </si>
  <si>
    <t>Craig McDaniel</t>
  </si>
  <si>
    <t>cmcdaniel@romega.us</t>
  </si>
  <si>
    <t>N/a</t>
  </si>
  <si>
    <t>Deion R. Lowery</t>
  </si>
  <si>
    <t>Direct</t>
  </si>
  <si>
    <t>Domingo Sanchez</t>
  </si>
  <si>
    <t>Edward E. Haddock, Jr.</t>
  </si>
  <si>
    <t>Robert H. Godwin</t>
  </si>
  <si>
    <t>Sparrow Pointe Housing, LP</t>
  </si>
  <si>
    <t>1631 East Vine Street, Suite 300</t>
  </si>
  <si>
    <t>For Profit</t>
  </si>
  <si>
    <t>Pricipal</t>
  </si>
  <si>
    <t>Sparrow Pointe Housing GP, LLC</t>
  </si>
  <si>
    <t>1631 Ease Vine Street, Suite 300</t>
  </si>
  <si>
    <t>http://birdsonghousing.com/</t>
  </si>
  <si>
    <t>Affordable Equity Partners, Inc.</t>
  </si>
  <si>
    <t>206 Peach Way</t>
  </si>
  <si>
    <t>www.aepartners.com</t>
  </si>
  <si>
    <t>bkimes@aepartners.com</t>
  </si>
  <si>
    <t>Brian Kimes</t>
  </si>
  <si>
    <t>Vice President</t>
  </si>
  <si>
    <t>Fairway Construction Company, Inc.</t>
  </si>
  <si>
    <t>www.fairwayconstruction.net</t>
  </si>
  <si>
    <t>bparr@fairwayconstruction.net</t>
  </si>
  <si>
    <t>Brian Parr</t>
  </si>
  <si>
    <t>Director of Construction</t>
  </si>
  <si>
    <t>Fairway Management Co, Inc.</t>
  </si>
  <si>
    <t>3290 Northside Parkway, Suite 300</t>
  </si>
  <si>
    <t>www.fairwaymanagement.com</t>
  </si>
  <si>
    <t>Eric Stout</t>
  </si>
  <si>
    <t>Regional Director</t>
  </si>
  <si>
    <t>estout@fairwaymanagement.com</t>
  </si>
  <si>
    <t>Van Matre, Harrison, Hollis, Taylor, and Elliot, P.C.</t>
  </si>
  <si>
    <t>1103 E. Broadway</t>
  </si>
  <si>
    <t>www.vanmatre.com</t>
  </si>
  <si>
    <t>tom@vanmatre.com</t>
  </si>
  <si>
    <t>Tom Harrison</t>
  </si>
  <si>
    <t>Partner</t>
  </si>
  <si>
    <t>Tidwell Group</t>
  </si>
  <si>
    <t>345 Peachtree Industrial Pkwy, Suite 1206</t>
  </si>
  <si>
    <t>Suwannee</t>
  </si>
  <si>
    <t>https://tidwellgroup.com/</t>
  </si>
  <si>
    <t>joshua.northcut@tidwellgroup.com</t>
  </si>
  <si>
    <t>Joshua Northcutt</t>
  </si>
  <si>
    <t>Office Managing Partner</t>
  </si>
  <si>
    <t>Martin Riley Associates - Architects, P.C.</t>
  </si>
  <si>
    <t>215 Church Street, Suite 200</t>
  </si>
  <si>
    <t>www.martinriley.com</t>
  </si>
  <si>
    <t>mriley@martinriley.com</t>
  </si>
  <si>
    <t>Mike Riley</t>
  </si>
  <si>
    <t>Kyi Mun Kim and Kyung Soon Kim</t>
  </si>
  <si>
    <t>7 Canterbury Place S.W.</t>
  </si>
  <si>
    <t>The federal and State Syndicator and the General Contractor are related parties.</t>
  </si>
  <si>
    <t>The Federal and State Syndicator and the Management Company are related parties.</t>
  </si>
  <si>
    <t>Sterling Bank</t>
  </si>
  <si>
    <t>GP &amp; LP Equity</t>
  </si>
  <si>
    <t>Community Improvement Fund</t>
  </si>
  <si>
    <t>DDA/QCT</t>
  </si>
  <si>
    <t>Electric Heat Pump</t>
  </si>
  <si>
    <t>Miscellaneous Administrative</t>
  </si>
  <si>
    <t>Personal Property Taxes</t>
  </si>
  <si>
    <t>Applicant believes that the proposed project is feasible, viable, and in conformance with the plan. The overall development and construction costs are considered reasonable and were evaluated by an experienced General Contractor and Engineer.</t>
  </si>
  <si>
    <t>The project's total development cost is below the cost limit.</t>
  </si>
  <si>
    <t>The Applicant is targeting a HFOP 55+ tenancy for the proposed project.</t>
  </si>
  <si>
    <t>Agree</t>
  </si>
  <si>
    <t>Applicant certifies that they will include the number and kinds of services required in the QAP for the proposed tenancy.</t>
  </si>
  <si>
    <t>Novogradac &amp; Company, LLC</t>
  </si>
  <si>
    <t>There is not an identity of interest between the buyer and seller. An appraisal is not included in the application.</t>
  </si>
  <si>
    <t>Geotechnical &amp; Environmental Consultants, Inc.</t>
  </si>
  <si>
    <t>Please see Tab 07 for the Environmental Phase I Report, which includes the Noise Attenuation Plan. Following best practices, the development team will develop an abatement approach to ensure proper abatement of the identified asbestor containing materials.</t>
  </si>
  <si>
    <t>Purchase Contract</t>
  </si>
  <si>
    <t>N/Ap</t>
  </si>
  <si>
    <t>Site access is provided by a legally accessible paved road and documentation is provided in Tab 9 of the application.</t>
  </si>
  <si>
    <t>A zoning certification provided by Rome-Floyd County Planning Department is found in Tab 10 of the application.</t>
  </si>
  <si>
    <t>Georgia Power Company</t>
  </si>
  <si>
    <t>Please see Tab 11 for documentation from the appropriate utility company confirming the availability of operating utilities at the proposed development site.</t>
  </si>
  <si>
    <t>Please see Tab 12 for documentation from the verifiable authorized public water/sanitary sewer/storm water authority stating water/sewer services are available at the proposed development site.</t>
  </si>
  <si>
    <t>Room</t>
  </si>
  <si>
    <t>Covered Porch</t>
  </si>
  <si>
    <t>Applicant agrees to provide Standard Site Amenities in conformance with DCA Amenities Guidebook.</t>
  </si>
  <si>
    <t>N/A - Project is new construction.</t>
  </si>
  <si>
    <t>Applicant agrees that the property will comply with GA State Minimum Standard Energy Code in effect at the time of permit issuance. Applicant will obtain a sustainable building certificate from Earth Craft House Multifamily.</t>
  </si>
  <si>
    <t>Zeffert &amp; Associates</t>
  </si>
  <si>
    <t>Project will meet all accessibility standards and will retain a DCA qualified consultant to monitor the project for accessibility compliance who will not be a member of the project team.</t>
  </si>
  <si>
    <t>Yes - W&amp;D hookups installed in each unit</t>
  </si>
  <si>
    <t>Applicant agrees the project will meet the standards for quality and longevity.</t>
  </si>
  <si>
    <t>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photos are included in Tab 16 of the application.</t>
  </si>
  <si>
    <t>Please see Tab 20 for the Qualification Determination letter. The project team Qualified under Probationary Participation (all probationary participants are limited to being a certifying entity in one propety in the 2021 round). The proposed application is the only property the certifying entity is submitting in the 2021 round.</t>
  </si>
  <si>
    <t>The commercial building on site is currently utilized as a restaurant that is owned and operated by the land seller. There is no lease in place and the land seller willingly anticipates closing the restaurant and vacating the building before closing in order to facilitate the land sale and proposed development.</t>
  </si>
  <si>
    <t>Applicant agrees to prepare an AFFH Marketing plan that meets the requirements if selected for funding.</t>
  </si>
  <si>
    <t>Applicant believes that the project is an optimal utilization of DCA resources. It should be noted that all four of the LIHTC comparables reported maintaining waiting lists ranging from 10 to over 100 households. The low vacancy rates and the presence of waiting lists at these properties indicates that there is a strong demand of affordable housing in the area.</t>
  </si>
  <si>
    <t>Rome Transit Department</t>
  </si>
  <si>
    <t>kshealy@romega.us</t>
  </si>
  <si>
    <t>https://www.romefloyd.com/departments/transit-department</t>
  </si>
  <si>
    <t>Rome Transit Department offers five (5) fixed routes. Route One B has a stop on Martha Berry Avenue within 0.1 miles walking from the property pedestrian entrance. The services are offered no less than five days a week. Links to bothschedule and routes can be found at the website (https://www.romefloyd.com/departments/transit-department). See Tab 28 of the application for transit service documentation.</t>
  </si>
  <si>
    <t>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t>
  </si>
  <si>
    <t>The proposed project is not within a one mile buffer of a project awarded in the last six competitive funding cycles.</t>
  </si>
  <si>
    <t>GA DCA - Georgia North - High-Rise Apartment</t>
  </si>
  <si>
    <t>High-Rise Elevator</t>
  </si>
  <si>
    <t>2021PA-042</t>
  </si>
  <si>
    <t>Novogradac &amp; Company LLP</t>
  </si>
  <si>
    <t>3-4 Months</t>
  </si>
  <si>
    <t>2018-045</t>
  </si>
  <si>
    <t>2015-055</t>
  </si>
  <si>
    <t>2009-002</t>
  </si>
  <si>
    <t>2013-040</t>
  </si>
  <si>
    <t>2014-028</t>
  </si>
  <si>
    <t>Altoview Terrace</t>
  </si>
  <si>
    <t>Burrell Square</t>
  </si>
  <si>
    <t>Etowah Terrace</t>
  </si>
  <si>
    <t>Greystone Apartments</t>
  </si>
  <si>
    <t>Highland Estates</t>
  </si>
  <si>
    <t>2020-032</t>
  </si>
  <si>
    <t>South Meadows</t>
  </si>
  <si>
    <t>Elm Street Elementary</t>
  </si>
  <si>
    <t>Rome Middle School</t>
  </si>
  <si>
    <t>Rome High School</t>
  </si>
  <si>
    <t>See Tab 29 for attendance zone confirmation and 2018, 2019 Beating the Odds and CCRPI scores for Elm Street Elementary, Rome Middle School, and Rome High School. Included in the BTO scores summary are 5 other schools within the school disctric that are outside of the attendance zone of this subject site.</t>
  </si>
  <si>
    <t>16 - 26</t>
  </si>
  <si>
    <t>6, 29</t>
  </si>
  <si>
    <t>60 - 62</t>
  </si>
  <si>
    <t xml:space="preserve">The proposed project is within one half mile of a place of worship, department store, restaurant, pharmacy, bank, medical care provider, post office, and a grocery store and within one mile of a hospital, recreation center, public park, public library, and police station. The applicant is eligible for 20 desirable points. There are no undesirables. Please see Tab 27 for the Desirable/Undesirable Certification. </t>
  </si>
  <si>
    <t>mgreenwood@birdsonghousing.com</t>
  </si>
  <si>
    <t>2700 Westhall Lane, Ste 200</t>
  </si>
  <si>
    <t>Maitland</t>
  </si>
  <si>
    <t>The applicant is willing to forgo the Qualified Contract "cancellation option". In addition, the applicant will also commit to providing a right of first refusal to a qualified nonprofit organization or a local housing authority in accordance with the DCA requirements.</t>
  </si>
  <si>
    <t>N/ap</t>
  </si>
  <si>
    <t>The market feasibility analysis provided by Novogradac &amp; Company, LLC recommends the subject property as proposed and offers ample data to support that conclusion. Projected and comparable absorption rates are strong, capture rates are relatively low, and market occupancy with exception of one comparable property that is renovating a large number of units is strong as well. Many of the comparable properties are full with a waiting list and have similar or slightly inferior construction and amenities. Please see Tab 5 for the market study.
Other DCA funded properties in the primary market area include: Park Homes (2017-513), High Rise (2017-514), Wilingham Village (2014-531) and Meadow Lane Apartments (2017-507)</t>
  </si>
  <si>
    <t>Site Contral documentation is included in Tab 08 of the application showing site control through December 31, 2020. Pre-Contract Agreement will not be submitted as HOME funds have not been allocated.</t>
  </si>
  <si>
    <t>South Rome Redevelopment Corporation</t>
  </si>
  <si>
    <t>The total Developer Fee includes the subtotal Developer Fee line item ($1,200,000) plus the Other Line Item labeled "Community Improvement Fund" ($50,000), which meets the Developer Fee limitations outlined in the QAP. Therefore, the applicant has reduced the Developer Fee by the $50,000 and has identified this line-item as an expenditure dedicated to Transformational plan Community Improvement Fund.</t>
  </si>
  <si>
    <t>1 S. Broad Street, SW</t>
  </si>
  <si>
    <t>www.southrome.org</t>
  </si>
  <si>
    <t>southromega@gmail.com</t>
  </si>
  <si>
    <t>Jake Hager</t>
  </si>
  <si>
    <t>Executive Director</t>
  </si>
  <si>
    <t>On-site laundry</t>
  </si>
  <si>
    <t>The proposed development will be comprised of four (4) stories; therefore, the Applicant is using the Georgia North utility allowances for high-rise apartments units. The utility allowances were effective January 1, 2021.</t>
  </si>
  <si>
    <t>TV/Wi-Fi</t>
  </si>
  <si>
    <t>Please see Tab 1, Item 02 of the Application for documenation of the Real Estate Taxes and Insurance estimates.</t>
  </si>
  <si>
    <t xml:space="preserve">The Developer, Birdsong Housing has engaged South Rome Redevelopment Corporation as consultant to empower their Community Transformation Plan by serving as the Community Based Developer.  For 20 years, South Rome Redevelopment Corporation has served the citizens of Rome through local partnerships with service providers in education, health, transportation, and workforce coupled with the continued support by the City of Rome’s dedication to revitalize the community.  The Community Quarterback board consists of a dynamic group of individuals who are driven to create a successful and meaningful Community Transformation Plan for the community where they live and work.  The Community Improvement Fund will be utilized to activate improvements to the Defined Neighborhood with the direction of community engagement.  The Consulting Agreement is included in Tab 47.  </t>
  </si>
  <si>
    <t>Please see Tab 47 for the consulting agreement with South Rome Redevelopment Corporation.</t>
  </si>
  <si>
    <t>Please see Tab 1 for the construction financing commitment from Sterling Bank.</t>
  </si>
  <si>
    <t>Construction Hard Costs were provided through Opinions of Probable Costs that were provided by the civil engineer and general contractor. Please see Tab 1 for documentation regarding the local government fees.</t>
  </si>
  <si>
    <t xml:space="preserve">Sparrow Pointe 
1301 Martha Berry Blvd., Rome, GA 30165, Floyd County 
Project Narrative
Sparrow Pointe is a proposed 50-unit new construction development. It will consist of a 4-story elevator-serviced building that will be age-restricted for residents 55+. The development will utilize the Income Averaging set-aside and will contain Forty-five (45) of the units will be restricted to a resident base for households at or below 50% and 60% of the AMI. Five (5) units will be available to households at or below 70% of the AMI.
This proposed development will meet the demand for affordable housing for residents 55 and over, and will have many design features, services, and amenities for such households including a fenced community garden.This proposed site is located in close proximity to community amenities, including retail, restaurants, medical, recreation, education, and entertainment – ideal for the proposed tenant population. Public transportation is available within a short walking distance. Sparrow Pointe will achieve a number of valuable goals and benefits for the community and will be an EarthCraft Multifamily certified community.
The Developer, Birdsong Housing has engaged South Rome Redevelopment Corporation as consultant to empower their Community Transformation Plan by serving as the Community Based Developer.  For 20 years, South Rome Redevelopment Corporation has served the citizens of Rome through local partnerships with service providers in education, health, transportation, and workforce coupled with the continued support by the City of Rome’s dedication to revitalize the community.  The Community Quarterback board consists of a dynamic group of individuals who are driven to create a successful and meaningful Community Transformation Plan for the community where they live and work.  The Community Improvement Fund will be utilized to activate improvements to the Defined Neighborhood with the direction of community engagement.
The Developer and sole member of the General Partner for the Rome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t>
  </si>
  <si>
    <t>1. APPLICATION COMPLETENESS: Applicant believes that the application is completed fully, which does not contain any missing/incomplete documents nor requires financial and other adjustments.
2. DEEPER TARGETING / RENT / INCOME RESTRICTIONS: The Applicant will be utilizing the Income Averaging set-aside with an overall average AMI at 58.00%.
10. MIXED INCOME DEVELOPMENTS: The Applicant has elected the Income Averaging set-aside and will not contain any market rate units.
15.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t>
  </si>
  <si>
    <t>2021-050</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</si>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</sst>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Sparrow Pointe</v>
      </c>
    </row>
    <row r="3" spans="1:6" ht="15" customHeight="1">
      <c r="A3" s="761" t="str">
        <f>CONCATENATE('Part I-Project Information'!F39,", ", 'Part I-Project Information'!J40," County")</f>
        <v>Rome, Floyd County</v>
      </c>
    </row>
    <row r="4" spans="1:6" ht="12" customHeight="1">
      <c r="A4" s="1197"/>
    </row>
    <row r="5" spans="1:6" ht="72" customHeight="1">
      <c r="A5" s="3131" t="s">
        <v>7011</v>
      </c>
      <c r="B5" s="3132" t="s">
        <v>4080</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5VxAa6l7oomWsfo8q9pcgkB1JpaTfR0W6NNGUczgxRbWDW2Ri3+Vnkom7qXWCmwmCVxfDtrOJ0aXelJ2wPCIpw==" saltValue="99Azh+dWNI7zFoZ7X2Gcl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6705</v>
      </c>
      <c r="C1" s="2807" t="s">
        <v>163</v>
      </c>
      <c r="D1" s="2807" t="s">
        <v>165</v>
      </c>
      <c r="E1" s="2807" t="s">
        <v>6706</v>
      </c>
      <c r="F1" s="2807" t="s">
        <v>6707</v>
      </c>
      <c r="G1" s="2807" t="s">
        <v>6708</v>
      </c>
      <c r="H1" s="2807" t="s">
        <v>6709</v>
      </c>
      <c r="I1" s="2807" t="s">
        <v>6710</v>
      </c>
      <c r="J1" s="2807" t="s">
        <v>6711</v>
      </c>
      <c r="K1" s="2807" t="s">
        <v>3257</v>
      </c>
      <c r="L1" s="2807" t="s">
        <v>6712</v>
      </c>
      <c r="M1" s="2807" t="s">
        <v>6713</v>
      </c>
      <c r="N1" s="2807" t="s">
        <v>6714</v>
      </c>
      <c r="O1" s="2807" t="s">
        <v>6715</v>
      </c>
      <c r="P1" s="2807" t="s">
        <v>367</v>
      </c>
      <c r="Q1" s="2807" t="s">
        <v>6716</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7" t="str">
        <f>CONCATENATE("PART SIX - PROJECTED REVENUES &amp; EXPENSES","  -  ",'Part I-Project Information'!$O$7," ",'Part I-Project Information'!$F$35,", ",'Part I-Project Information'!F39,", ",'Part I-Project Information'!J40," County")</f>
        <v>PART SIX - PROJECTED REVENUES &amp; EXPENSES  -  2021-050 Sparrow Pointe, Rome, Floyd County</v>
      </c>
      <c r="B2" s="3928"/>
      <c r="C2" s="3928"/>
      <c r="D2" s="3928"/>
      <c r="E2" s="3928"/>
      <c r="F2" s="3928"/>
      <c r="G2" s="3928"/>
      <c r="H2" s="3928"/>
      <c r="I2" s="3928"/>
      <c r="J2" s="3928"/>
      <c r="K2" s="3928"/>
      <c r="L2" s="3928"/>
      <c r="M2" s="3928"/>
      <c r="N2" s="3928"/>
      <c r="O2" s="3928"/>
      <c r="P2" s="3928"/>
      <c r="Q2" s="3929"/>
      <c r="T2" s="1499" t="str">
        <f>A2</f>
        <v>PART SIX - PROJECTED REVENUES &amp; EXPENSES  -  2021-050 Sparrow Pointe, Rome, Floyd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932" t="str">
        <f>'Part I-Project Information'!$O$41</f>
        <v>Rome</v>
      </c>
      <c r="Q4" s="3932"/>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8" t="s">
        <v>3165</v>
      </c>
      <c r="MG4" s="3828" t="s">
        <v>3166</v>
      </c>
      <c r="MH4" s="3828" t="s">
        <v>3167</v>
      </c>
      <c r="MI4" s="3828" t="s">
        <v>3168</v>
      </c>
      <c r="MJ4" s="3828"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8" t="s">
        <v>3333</v>
      </c>
      <c r="R5" s="2648"/>
      <c r="S5" s="405"/>
      <c r="T5" s="405"/>
      <c r="U5" s="405"/>
      <c r="W5" s="406"/>
      <c r="X5" s="3828" t="s">
        <v>3835</v>
      </c>
      <c r="Y5" s="3828" t="s">
        <v>3836</v>
      </c>
      <c r="Z5" s="3828" t="s">
        <v>3837</v>
      </c>
      <c r="AA5" s="3828" t="s">
        <v>3838</v>
      </c>
      <c r="AB5" s="3828" t="s">
        <v>3839</v>
      </c>
      <c r="AC5" s="3828" t="s">
        <v>3840</v>
      </c>
      <c r="AD5" s="3828" t="s">
        <v>3841</v>
      </c>
      <c r="AE5" s="3828" t="s">
        <v>3842</v>
      </c>
      <c r="AF5" s="3828" t="s">
        <v>3843</v>
      </c>
      <c r="AG5" s="3828" t="s">
        <v>3844</v>
      </c>
      <c r="AH5" s="3828" t="s">
        <v>885</v>
      </c>
      <c r="AI5" s="3828" t="s">
        <v>726</v>
      </c>
      <c r="AJ5" s="3828" t="s">
        <v>727</v>
      </c>
      <c r="AK5" s="3828" t="s">
        <v>728</v>
      </c>
      <c r="AL5" s="3828" t="s">
        <v>729</v>
      </c>
      <c r="AM5" s="3828" t="s">
        <v>886</v>
      </c>
      <c r="AN5" s="3828" t="s">
        <v>2206</v>
      </c>
      <c r="AO5" s="3828" t="s">
        <v>2207</v>
      </c>
      <c r="AP5" s="3828" t="s">
        <v>2208</v>
      </c>
      <c r="AQ5" s="3828" t="s">
        <v>2209</v>
      </c>
      <c r="AR5" s="3828" t="s">
        <v>3846</v>
      </c>
      <c r="AS5" s="3828" t="s">
        <v>3847</v>
      </c>
      <c r="AT5" s="3828" t="s">
        <v>3848</v>
      </c>
      <c r="AU5" s="3828" t="s">
        <v>3849</v>
      </c>
      <c r="AV5" s="3828" t="s">
        <v>3845</v>
      </c>
      <c r="AW5" s="3828" t="s">
        <v>887</v>
      </c>
      <c r="AX5" s="3828" t="s">
        <v>2210</v>
      </c>
      <c r="AY5" s="3828" t="s">
        <v>2211</v>
      </c>
      <c r="AZ5" s="3828" t="s">
        <v>2212</v>
      </c>
      <c r="BA5" s="3828" t="s">
        <v>2213</v>
      </c>
      <c r="BB5" s="3828" t="s">
        <v>3850</v>
      </c>
      <c r="BC5" s="3828" t="s">
        <v>3851</v>
      </c>
      <c r="BD5" s="3828" t="s">
        <v>3852</v>
      </c>
      <c r="BE5" s="3828" t="s">
        <v>3853</v>
      </c>
      <c r="BF5" s="3828" t="s">
        <v>3854</v>
      </c>
      <c r="BG5" s="3828" t="s">
        <v>122</v>
      </c>
      <c r="BH5" s="3828" t="s">
        <v>2214</v>
      </c>
      <c r="BI5" s="3828" t="s">
        <v>2215</v>
      </c>
      <c r="BJ5" s="3828" t="s">
        <v>2216</v>
      </c>
      <c r="BK5" s="3828" t="s">
        <v>1106</v>
      </c>
      <c r="BL5" s="3828" t="s">
        <v>3855</v>
      </c>
      <c r="BM5" s="3828" t="s">
        <v>3856</v>
      </c>
      <c r="BN5" s="3828" t="s">
        <v>3857</v>
      </c>
      <c r="BO5" s="3828" t="s">
        <v>3858</v>
      </c>
      <c r="BP5" s="3828" t="s">
        <v>3859</v>
      </c>
      <c r="BQ5" s="3828" t="s">
        <v>529</v>
      </c>
      <c r="BR5" s="3828" t="s">
        <v>530</v>
      </c>
      <c r="BS5" s="3828" t="s">
        <v>548</v>
      </c>
      <c r="BT5" s="3828" t="s">
        <v>549</v>
      </c>
      <c r="BU5" s="3828" t="s">
        <v>550</v>
      </c>
      <c r="BV5" s="3828" t="s">
        <v>3860</v>
      </c>
      <c r="BW5" s="3828" t="s">
        <v>3861</v>
      </c>
      <c r="BX5" s="3828" t="s">
        <v>3862</v>
      </c>
      <c r="BY5" s="3828" t="s">
        <v>3863</v>
      </c>
      <c r="BZ5" s="3828" t="s">
        <v>3864</v>
      </c>
      <c r="CA5" s="3828" t="s">
        <v>551</v>
      </c>
      <c r="CB5" s="3828" t="s">
        <v>552</v>
      </c>
      <c r="CC5" s="3828" t="s">
        <v>553</v>
      </c>
      <c r="CD5" s="3828" t="s">
        <v>554</v>
      </c>
      <c r="CE5" s="3828" t="s">
        <v>555</v>
      </c>
      <c r="CF5" s="3828" t="s">
        <v>556</v>
      </c>
      <c r="CG5" s="3828" t="s">
        <v>557</v>
      </c>
      <c r="CH5" s="3828" t="s">
        <v>896</v>
      </c>
      <c r="CI5" s="3828" t="s">
        <v>897</v>
      </c>
      <c r="CJ5" s="3828" t="s">
        <v>898</v>
      </c>
      <c r="CK5" s="3828" t="s">
        <v>3870</v>
      </c>
      <c r="CL5" s="3828" t="s">
        <v>3871</v>
      </c>
      <c r="CM5" s="3828" t="s">
        <v>3872</v>
      </c>
      <c r="CN5" s="3828" t="s">
        <v>3873</v>
      </c>
      <c r="CO5" s="3828" t="s">
        <v>3874</v>
      </c>
      <c r="CP5" s="3828" t="s">
        <v>3865</v>
      </c>
      <c r="CQ5" s="3828" t="s">
        <v>3866</v>
      </c>
      <c r="CR5" s="3828" t="s">
        <v>3867</v>
      </c>
      <c r="CS5" s="3828" t="s">
        <v>3868</v>
      </c>
      <c r="CT5" s="3828" t="s">
        <v>3869</v>
      </c>
      <c r="CU5" s="3828" t="s">
        <v>3875</v>
      </c>
      <c r="CV5" s="3828" t="s">
        <v>3876</v>
      </c>
      <c r="CW5" s="3828" t="s">
        <v>3877</v>
      </c>
      <c r="CX5" s="3828" t="s">
        <v>3878</v>
      </c>
      <c r="CY5" s="3828" t="s">
        <v>3879</v>
      </c>
      <c r="CZ5" s="3828" t="s">
        <v>474</v>
      </c>
      <c r="DA5" s="3828" t="s">
        <v>475</v>
      </c>
      <c r="DB5" s="3828" t="s">
        <v>476</v>
      </c>
      <c r="DC5" s="3828" t="s">
        <v>477</v>
      </c>
      <c r="DD5" s="3828" t="s">
        <v>478</v>
      </c>
      <c r="DE5" s="3828" t="s">
        <v>3880</v>
      </c>
      <c r="DF5" s="3828" t="s">
        <v>3881</v>
      </c>
      <c r="DG5" s="3828" t="s">
        <v>3882</v>
      </c>
      <c r="DH5" s="3828" t="s">
        <v>3883</v>
      </c>
      <c r="DI5" s="3828" t="s">
        <v>3884</v>
      </c>
      <c r="DJ5" s="3828" t="s">
        <v>846</v>
      </c>
      <c r="DK5" s="3828" t="s">
        <v>847</v>
      </c>
      <c r="DL5" s="3828" t="s">
        <v>848</v>
      </c>
      <c r="DM5" s="3828" t="s">
        <v>849</v>
      </c>
      <c r="DN5" s="3828" t="s">
        <v>850</v>
      </c>
      <c r="DO5" s="3828" t="s">
        <v>851</v>
      </c>
      <c r="DP5" s="3828" t="s">
        <v>852</v>
      </c>
      <c r="DQ5" s="3828" t="s">
        <v>853</v>
      </c>
      <c r="DR5" s="3828" t="s">
        <v>854</v>
      </c>
      <c r="DS5" s="3828" t="s">
        <v>855</v>
      </c>
      <c r="DT5" s="3828" t="s">
        <v>3885</v>
      </c>
      <c r="DU5" s="3828" t="s">
        <v>3886</v>
      </c>
      <c r="DV5" s="3828" t="s">
        <v>3887</v>
      </c>
      <c r="DW5" s="3828" t="s">
        <v>3888</v>
      </c>
      <c r="DX5" s="3828" t="s">
        <v>3889</v>
      </c>
      <c r="DY5" s="3828" t="s">
        <v>3890</v>
      </c>
      <c r="DZ5" s="3828" t="s">
        <v>3891</v>
      </c>
      <c r="EA5" s="3828" t="s">
        <v>3892</v>
      </c>
      <c r="EB5" s="3828" t="s">
        <v>3893</v>
      </c>
      <c r="EC5" s="3828" t="s">
        <v>3894</v>
      </c>
      <c r="ED5" s="3828" t="s">
        <v>2319</v>
      </c>
      <c r="EE5" s="3828" t="s">
        <v>2320</v>
      </c>
      <c r="EF5" s="3828" t="s">
        <v>2321</v>
      </c>
      <c r="EG5" s="3828" t="s">
        <v>2322</v>
      </c>
      <c r="EH5" s="3828" t="s">
        <v>2323</v>
      </c>
      <c r="EI5" s="3828" t="s">
        <v>3895</v>
      </c>
      <c r="EJ5" s="3828" t="s">
        <v>3896</v>
      </c>
      <c r="EK5" s="3828" t="s">
        <v>3897</v>
      </c>
      <c r="EL5" s="3828" t="s">
        <v>3898</v>
      </c>
      <c r="EM5" s="3828" t="s">
        <v>3899</v>
      </c>
      <c r="EN5" s="3828" t="s">
        <v>3900</v>
      </c>
      <c r="EO5" s="3828" t="s">
        <v>3901</v>
      </c>
      <c r="EP5" s="3828" t="s">
        <v>3902</v>
      </c>
      <c r="EQ5" s="3828" t="s">
        <v>3903</v>
      </c>
      <c r="ER5" s="3828" t="s">
        <v>3904</v>
      </c>
      <c r="ES5" s="3828" t="s">
        <v>110</v>
      </c>
      <c r="ET5" s="3828" t="s">
        <v>1109</v>
      </c>
      <c r="EU5" s="3828" t="s">
        <v>1110</v>
      </c>
      <c r="EV5" s="3828" t="s">
        <v>1167</v>
      </c>
      <c r="EW5" s="3828" t="s">
        <v>1168</v>
      </c>
      <c r="EX5" s="3828" t="s">
        <v>125</v>
      </c>
      <c r="EY5" s="3828" t="s">
        <v>1169</v>
      </c>
      <c r="EZ5" s="3828" t="s">
        <v>1170</v>
      </c>
      <c r="FA5" s="3828" t="s">
        <v>1171</v>
      </c>
      <c r="FB5" s="3828" t="s">
        <v>1172</v>
      </c>
      <c r="FC5" s="3828" t="s">
        <v>3905</v>
      </c>
      <c r="FD5" s="3828" t="s">
        <v>3906</v>
      </c>
      <c r="FE5" s="3828" t="s">
        <v>3907</v>
      </c>
      <c r="FF5" s="3828" t="s">
        <v>3908</v>
      </c>
      <c r="FG5" s="3828" t="s">
        <v>3909</v>
      </c>
      <c r="FH5" s="3828" t="s">
        <v>124</v>
      </c>
      <c r="FI5" s="3828" t="s">
        <v>877</v>
      </c>
      <c r="FJ5" s="3828" t="s">
        <v>878</v>
      </c>
      <c r="FK5" s="3828" t="s">
        <v>879</v>
      </c>
      <c r="FL5" s="3828" t="s">
        <v>880</v>
      </c>
      <c r="FM5" s="3828" t="s">
        <v>3910</v>
      </c>
      <c r="FN5" s="3828" t="s">
        <v>3911</v>
      </c>
      <c r="FO5" s="3828" t="s">
        <v>3912</v>
      </c>
      <c r="FP5" s="3828" t="s">
        <v>3913</v>
      </c>
      <c r="FQ5" s="3828" t="s">
        <v>3914</v>
      </c>
      <c r="FR5" s="3828" t="s">
        <v>123</v>
      </c>
      <c r="FS5" s="3828" t="s">
        <v>881</v>
      </c>
      <c r="FT5" s="3828" t="s">
        <v>882</v>
      </c>
      <c r="FU5" s="3828" t="s">
        <v>883</v>
      </c>
      <c r="FV5" s="3828" t="s">
        <v>884</v>
      </c>
      <c r="FW5" s="3828" t="s">
        <v>776</v>
      </c>
      <c r="FX5" s="3828" t="s">
        <v>777</v>
      </c>
      <c r="FY5" s="3828" t="s">
        <v>778</v>
      </c>
      <c r="FZ5" s="3828" t="s">
        <v>779</v>
      </c>
      <c r="GA5" s="3828" t="s">
        <v>780</v>
      </c>
      <c r="GB5" s="3828" t="s">
        <v>921</v>
      </c>
      <c r="GC5" s="3828" t="s">
        <v>922</v>
      </c>
      <c r="GD5" s="3828" t="s">
        <v>923</v>
      </c>
      <c r="GE5" s="3828" t="s">
        <v>924</v>
      </c>
      <c r="GF5" s="3828" t="s">
        <v>2318</v>
      </c>
      <c r="GG5" s="3828" t="s">
        <v>1378</v>
      </c>
      <c r="GH5" s="3828" t="s">
        <v>1379</v>
      </c>
      <c r="GI5" s="3828" t="s">
        <v>1380</v>
      </c>
      <c r="GJ5" s="3828" t="s">
        <v>1381</v>
      </c>
      <c r="GK5" s="3828" t="s">
        <v>1382</v>
      </c>
      <c r="GL5" s="3828" t="s">
        <v>417</v>
      </c>
      <c r="GM5" s="3828" t="s">
        <v>418</v>
      </c>
      <c r="GN5" s="3828" t="s">
        <v>419</v>
      </c>
      <c r="GO5" s="3828" t="s">
        <v>420</v>
      </c>
      <c r="GP5" s="3828" t="s">
        <v>421</v>
      </c>
      <c r="GQ5" s="3828" t="s">
        <v>14</v>
      </c>
      <c r="GR5" s="3828" t="s">
        <v>15</v>
      </c>
      <c r="GS5" s="3828" t="s">
        <v>16</v>
      </c>
      <c r="GT5" s="3828" t="s">
        <v>17</v>
      </c>
      <c r="GU5" s="3828" t="s">
        <v>18</v>
      </c>
      <c r="GV5" s="3828" t="s">
        <v>213</v>
      </c>
      <c r="GW5" s="3828" t="s">
        <v>214</v>
      </c>
      <c r="GX5" s="3828" t="s">
        <v>215</v>
      </c>
      <c r="GY5" s="3828" t="s">
        <v>1727</v>
      </c>
      <c r="GZ5" s="3828" t="s">
        <v>1728</v>
      </c>
      <c r="HA5" s="3828" t="s">
        <v>1729</v>
      </c>
      <c r="HB5" s="3828" t="s">
        <v>563</v>
      </c>
      <c r="HC5" s="3828" t="s">
        <v>564</v>
      </c>
      <c r="HD5" s="3828" t="s">
        <v>565</v>
      </c>
      <c r="HE5" s="3828" t="s">
        <v>566</v>
      </c>
      <c r="HF5" s="3828" t="s">
        <v>19</v>
      </c>
      <c r="HG5" s="3828" t="s">
        <v>20</v>
      </c>
      <c r="HH5" s="3828" t="s">
        <v>21</v>
      </c>
      <c r="HI5" s="3828" t="s">
        <v>22</v>
      </c>
      <c r="HJ5" s="3828" t="s">
        <v>23</v>
      </c>
      <c r="HK5" s="3828" t="s">
        <v>473</v>
      </c>
      <c r="HL5" s="3828" t="s">
        <v>413</v>
      </c>
      <c r="HM5" s="3828" t="s">
        <v>414</v>
      </c>
      <c r="HN5" s="3828" t="s">
        <v>415</v>
      </c>
      <c r="HO5" s="3828" t="s">
        <v>416</v>
      </c>
      <c r="HP5" s="3828" t="s">
        <v>2107</v>
      </c>
      <c r="HQ5" s="3828" t="s">
        <v>2108</v>
      </c>
      <c r="HR5" s="3828" t="s">
        <v>2109</v>
      </c>
      <c r="HS5" s="3828" t="s">
        <v>1420</v>
      </c>
      <c r="HT5" s="3828" t="s">
        <v>1421</v>
      </c>
      <c r="HU5" s="3828" t="s">
        <v>24</v>
      </c>
      <c r="HV5" s="3828" t="s">
        <v>25</v>
      </c>
      <c r="HW5" s="3828" t="s">
        <v>26</v>
      </c>
      <c r="HX5" s="3828" t="s">
        <v>27</v>
      </c>
      <c r="HY5" s="382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8" t="s">
        <v>1559</v>
      </c>
      <c r="LH5" s="3828" t="s">
        <v>2405</v>
      </c>
      <c r="LI5" s="3828" t="s">
        <v>2406</v>
      </c>
      <c r="LJ5" s="3828" t="s">
        <v>368</v>
      </c>
      <c r="LK5" s="3828" t="s">
        <v>369</v>
      </c>
      <c r="LL5" s="3828" t="s">
        <v>370</v>
      </c>
      <c r="LM5" s="3828" t="s">
        <v>371</v>
      </c>
      <c r="LN5" s="3828" t="s">
        <v>372</v>
      </c>
      <c r="LO5" s="3828" t="s">
        <v>373</v>
      </c>
      <c r="LP5" s="3828" t="s">
        <v>374</v>
      </c>
      <c r="LQ5" s="3828" t="s">
        <v>194</v>
      </c>
      <c r="LR5" s="3828" t="s">
        <v>195</v>
      </c>
      <c r="LS5" s="3828" t="s">
        <v>196</v>
      </c>
      <c r="LT5" s="3828" t="s">
        <v>197</v>
      </c>
      <c r="LU5" s="3828" t="s">
        <v>198</v>
      </c>
      <c r="LV5" s="3828" t="s">
        <v>199</v>
      </c>
      <c r="LW5" s="3828" t="s">
        <v>200</v>
      </c>
      <c r="LX5" s="3828" t="s">
        <v>201</v>
      </c>
      <c r="LY5" s="3828" t="s">
        <v>202</v>
      </c>
      <c r="LZ5" s="3828" t="s">
        <v>203</v>
      </c>
      <c r="MA5" s="3828" t="s">
        <v>204</v>
      </c>
      <c r="MB5" s="3828" t="s">
        <v>205</v>
      </c>
      <c r="MC5" s="3828" t="s">
        <v>206</v>
      </c>
      <c r="MD5" s="3828" t="s">
        <v>207</v>
      </c>
      <c r="ME5" s="3828" t="s">
        <v>208</v>
      </c>
      <c r="MF5" s="3828"/>
      <c r="MG5" s="3828"/>
      <c r="MH5" s="3828"/>
      <c r="MI5" s="3828"/>
      <c r="MJ5" s="382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2" t="str">
        <f>IF(A49&gt;0,"Finish Row!","")</f>
        <v/>
      </c>
      <c r="B6" s="163" t="s">
        <v>6308</v>
      </c>
      <c r="D6" s="1585"/>
      <c r="E6" s="1585"/>
      <c r="F6" s="1585"/>
      <c r="G6" s="2851" t="s">
        <v>193</v>
      </c>
      <c r="H6" s="3930" t="s">
        <v>6310</v>
      </c>
      <c r="I6" s="3931"/>
      <c r="J6" s="3931"/>
      <c r="K6" s="1401" t="s">
        <v>3257</v>
      </c>
      <c r="L6" s="3830" t="str">
        <f>'Part I-Project Information'!$B$7</f>
        <v>2021 Core Application</v>
      </c>
      <c r="M6" s="3830"/>
      <c r="N6" s="3830"/>
      <c r="O6" s="1784" t="s">
        <v>6286</v>
      </c>
      <c r="P6" s="2852">
        <v>58700</v>
      </c>
      <c r="Q6" s="3878"/>
      <c r="R6" s="2648"/>
      <c r="S6" s="93"/>
      <c r="U6" s="93"/>
      <c r="X6" s="3828"/>
      <c r="Y6" s="3828"/>
      <c r="Z6" s="3828"/>
      <c r="AA6" s="3828"/>
      <c r="AB6" s="3828"/>
      <c r="AC6" s="3828"/>
      <c r="AD6" s="3828"/>
      <c r="AE6" s="3828"/>
      <c r="AF6" s="3828"/>
      <c r="AG6" s="3828"/>
      <c r="AH6" s="3828"/>
      <c r="AI6" s="3828"/>
      <c r="AJ6" s="3828"/>
      <c r="AK6" s="3828"/>
      <c r="AL6" s="3828"/>
      <c r="AM6" s="3828"/>
      <c r="AN6" s="3828"/>
      <c r="AO6" s="3828"/>
      <c r="AP6" s="3828"/>
      <c r="AQ6" s="3828"/>
      <c r="AR6" s="3828"/>
      <c r="AS6" s="3828"/>
      <c r="AT6" s="3828"/>
      <c r="AU6" s="3828"/>
      <c r="AV6" s="3828"/>
      <c r="AW6" s="3828"/>
      <c r="AX6" s="3828"/>
      <c r="AY6" s="3828"/>
      <c r="AZ6" s="3828"/>
      <c r="BA6" s="3828"/>
      <c r="BB6" s="3828"/>
      <c r="BC6" s="3828"/>
      <c r="BD6" s="3828"/>
      <c r="BE6" s="3828"/>
      <c r="BF6" s="3828"/>
      <c r="BG6" s="3828"/>
      <c r="BH6" s="3828"/>
      <c r="BI6" s="3828"/>
      <c r="BJ6" s="3828"/>
      <c r="BK6" s="3828"/>
      <c r="BL6" s="3828"/>
      <c r="BM6" s="3828"/>
      <c r="BN6" s="3828"/>
      <c r="BO6" s="3828"/>
      <c r="BP6" s="3828"/>
      <c r="BQ6" s="3828"/>
      <c r="BR6" s="3828"/>
      <c r="BS6" s="3828"/>
      <c r="BT6" s="3828"/>
      <c r="BU6" s="3828"/>
      <c r="BV6" s="3828"/>
      <c r="BW6" s="3828"/>
      <c r="BX6" s="3828"/>
      <c r="BY6" s="3828"/>
      <c r="BZ6" s="3828"/>
      <c r="CA6" s="3828"/>
      <c r="CB6" s="3828"/>
      <c r="CC6" s="3828"/>
      <c r="CD6" s="3828"/>
      <c r="CE6" s="3828"/>
      <c r="CF6" s="3828"/>
      <c r="CG6" s="3828"/>
      <c r="CH6" s="3828"/>
      <c r="CI6" s="3828"/>
      <c r="CJ6" s="3828"/>
      <c r="CK6" s="3828"/>
      <c r="CL6" s="3828"/>
      <c r="CM6" s="3828"/>
      <c r="CN6" s="3828"/>
      <c r="CO6" s="3828"/>
      <c r="CP6" s="3828"/>
      <c r="CQ6" s="3828"/>
      <c r="CR6" s="3828"/>
      <c r="CS6" s="3828"/>
      <c r="CT6" s="3828"/>
      <c r="CU6" s="3828"/>
      <c r="CV6" s="3828"/>
      <c r="CW6" s="3828"/>
      <c r="CX6" s="3828"/>
      <c r="CY6" s="3828"/>
      <c r="CZ6" s="3828"/>
      <c r="DA6" s="3828"/>
      <c r="DB6" s="3828"/>
      <c r="DC6" s="3828"/>
      <c r="DD6" s="3828"/>
      <c r="DE6" s="3828"/>
      <c r="DF6" s="3828"/>
      <c r="DG6" s="3828"/>
      <c r="DH6" s="3828"/>
      <c r="DI6" s="3828"/>
      <c r="DJ6" s="3828"/>
      <c r="DK6" s="3828"/>
      <c r="DL6" s="3828"/>
      <c r="DM6" s="3828"/>
      <c r="DN6" s="3828"/>
      <c r="DO6" s="3828"/>
      <c r="DP6" s="3828"/>
      <c r="DQ6" s="3828"/>
      <c r="DR6" s="3828"/>
      <c r="DS6" s="3828"/>
      <c r="DT6" s="3828"/>
      <c r="DU6" s="3828"/>
      <c r="DV6" s="3828"/>
      <c r="DW6" s="3828"/>
      <c r="DX6" s="3828"/>
      <c r="DY6" s="3828"/>
      <c r="DZ6" s="3828"/>
      <c r="EA6" s="3828"/>
      <c r="EB6" s="3828"/>
      <c r="EC6" s="3828"/>
      <c r="ED6" s="3828"/>
      <c r="EE6" s="3828"/>
      <c r="EF6" s="3828"/>
      <c r="EG6" s="3828"/>
      <c r="EH6" s="3828"/>
      <c r="EI6" s="3828"/>
      <c r="EJ6" s="3828"/>
      <c r="EK6" s="3828"/>
      <c r="EL6" s="3828"/>
      <c r="EM6" s="3828"/>
      <c r="EN6" s="3828"/>
      <c r="EO6" s="3828"/>
      <c r="EP6" s="3828"/>
      <c r="EQ6" s="3828"/>
      <c r="ER6" s="3828"/>
      <c r="ES6" s="3828"/>
      <c r="ET6" s="3828"/>
      <c r="EU6" s="3828"/>
      <c r="EV6" s="3828"/>
      <c r="EW6" s="3828"/>
      <c r="EX6" s="3828"/>
      <c r="EY6" s="3828"/>
      <c r="EZ6" s="3828"/>
      <c r="FA6" s="3828"/>
      <c r="FB6" s="3828"/>
      <c r="FC6" s="3828"/>
      <c r="FD6" s="3828"/>
      <c r="FE6" s="3828"/>
      <c r="FF6" s="3828"/>
      <c r="FG6" s="3828"/>
      <c r="FH6" s="3828"/>
      <c r="FI6" s="3828"/>
      <c r="FJ6" s="3828"/>
      <c r="FK6" s="3828"/>
      <c r="FL6" s="3828"/>
      <c r="FM6" s="3828"/>
      <c r="FN6" s="3828"/>
      <c r="FO6" s="3828"/>
      <c r="FP6" s="3828"/>
      <c r="FQ6" s="3828"/>
      <c r="FR6" s="3828"/>
      <c r="FS6" s="3828"/>
      <c r="FT6" s="3828"/>
      <c r="FU6" s="3828"/>
      <c r="FV6" s="3828"/>
      <c r="FW6" s="3828"/>
      <c r="FX6" s="3828"/>
      <c r="FY6" s="3828"/>
      <c r="FZ6" s="3828"/>
      <c r="GA6" s="3828"/>
      <c r="GB6" s="3828"/>
      <c r="GC6" s="3828"/>
      <c r="GD6" s="3828"/>
      <c r="GE6" s="3828"/>
      <c r="GF6" s="3828"/>
      <c r="GG6" s="3828"/>
      <c r="GH6" s="3828"/>
      <c r="GI6" s="3828"/>
      <c r="GJ6" s="3828"/>
      <c r="GK6" s="3828"/>
      <c r="GL6" s="3828"/>
      <c r="GM6" s="3828"/>
      <c r="GN6" s="3828"/>
      <c r="GO6" s="3828"/>
      <c r="GP6" s="3828"/>
      <c r="GQ6" s="3828"/>
      <c r="GR6" s="3828"/>
      <c r="GS6" s="3828"/>
      <c r="GT6" s="3828"/>
      <c r="GU6" s="3828"/>
      <c r="GV6" s="3828"/>
      <c r="GW6" s="3828"/>
      <c r="GX6" s="3828"/>
      <c r="GY6" s="3828"/>
      <c r="GZ6" s="3828"/>
      <c r="HA6" s="3828"/>
      <c r="HB6" s="3828"/>
      <c r="HC6" s="3828"/>
      <c r="HD6" s="3828"/>
      <c r="HE6" s="3828"/>
      <c r="HF6" s="3828"/>
      <c r="HG6" s="3828"/>
      <c r="HH6" s="3828"/>
      <c r="HI6" s="3828"/>
      <c r="HJ6" s="3828"/>
      <c r="HK6" s="3828"/>
      <c r="HL6" s="3828"/>
      <c r="HM6" s="3828"/>
      <c r="HN6" s="3828"/>
      <c r="HO6" s="3828"/>
      <c r="HP6" s="3828"/>
      <c r="HQ6" s="3828"/>
      <c r="HR6" s="3828"/>
      <c r="HS6" s="3828"/>
      <c r="HT6" s="3828"/>
      <c r="HU6" s="3828"/>
      <c r="HV6" s="3828"/>
      <c r="HW6" s="3828"/>
      <c r="HX6" s="3828"/>
      <c r="HY6" s="382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8"/>
      <c r="LH6" s="3828"/>
      <c r="LI6" s="3828"/>
      <c r="LJ6" s="3828"/>
      <c r="LK6" s="3828"/>
      <c r="LL6" s="3828"/>
      <c r="LM6" s="3828"/>
      <c r="LN6" s="3828"/>
      <c r="LO6" s="3828"/>
      <c r="LP6" s="3828"/>
      <c r="LQ6" s="3828"/>
      <c r="LR6" s="3828"/>
      <c r="LS6" s="3828"/>
      <c r="LT6" s="3828"/>
      <c r="LU6" s="3828"/>
      <c r="LV6" s="3828"/>
      <c r="LW6" s="3828"/>
      <c r="LX6" s="3828"/>
      <c r="LY6" s="3828"/>
      <c r="LZ6" s="3828"/>
      <c r="MA6" s="3828"/>
      <c r="MB6" s="3828"/>
      <c r="MC6" s="3828"/>
      <c r="MD6" s="3828"/>
      <c r="ME6" s="3828"/>
      <c r="MF6" s="3828"/>
      <c r="MG6" s="3828"/>
      <c r="MH6" s="3828"/>
      <c r="MI6" s="3828"/>
      <c r="MJ6" s="3828"/>
      <c r="MK6" s="3864" t="s">
        <v>3160</v>
      </c>
      <c r="ML6" s="3864" t="s">
        <v>3161</v>
      </c>
      <c r="MM6" s="3864" t="s">
        <v>3162</v>
      </c>
      <c r="MN6" s="3864" t="s">
        <v>3163</v>
      </c>
      <c r="MO6" s="3864" t="s">
        <v>3164</v>
      </c>
      <c r="MP6" s="3828" t="s">
        <v>6585</v>
      </c>
      <c r="MQ6" s="3828" t="s">
        <v>6586</v>
      </c>
      <c r="MR6" s="3828" t="s">
        <v>6587</v>
      </c>
      <c r="MS6" s="3828" t="s">
        <v>6588</v>
      </c>
      <c r="MT6" s="3828" t="s">
        <v>6589</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2"/>
      <c r="B7" s="29" t="s">
        <v>6309</v>
      </c>
      <c r="E7" s="4"/>
      <c r="G7" s="2853" t="s">
        <v>2772</v>
      </c>
      <c r="I7" s="3857" t="s">
        <v>4276</v>
      </c>
      <c r="J7" s="1401" t="s">
        <v>765</v>
      </c>
      <c r="K7" s="1401" t="s">
        <v>3307</v>
      </c>
      <c r="L7" s="3830"/>
      <c r="M7" s="3830"/>
      <c r="N7" s="3830"/>
      <c r="O7" s="1785" t="s">
        <v>6285</v>
      </c>
      <c r="P7" s="2854">
        <v>43922</v>
      </c>
      <c r="Q7" s="3878"/>
      <c r="R7" s="3861" t="s">
        <v>2547</v>
      </c>
      <c r="S7" s="3861"/>
      <c r="X7" s="3828"/>
      <c r="Y7" s="3828"/>
      <c r="Z7" s="3828"/>
      <c r="AA7" s="3828"/>
      <c r="AB7" s="3828"/>
      <c r="AC7" s="3828"/>
      <c r="AD7" s="3828"/>
      <c r="AE7" s="3828"/>
      <c r="AF7" s="3828"/>
      <c r="AG7" s="3828"/>
      <c r="AH7" s="3828"/>
      <c r="AI7" s="3828"/>
      <c r="AJ7" s="3828"/>
      <c r="AK7" s="3828"/>
      <c r="AL7" s="3828"/>
      <c r="AM7" s="3828"/>
      <c r="AN7" s="3828"/>
      <c r="AO7" s="3828"/>
      <c r="AP7" s="3828"/>
      <c r="AQ7" s="3828"/>
      <c r="AR7" s="3828"/>
      <c r="AS7" s="3828"/>
      <c r="AT7" s="3828"/>
      <c r="AU7" s="3828"/>
      <c r="AV7" s="3828"/>
      <c r="AW7" s="3828"/>
      <c r="AX7" s="3828"/>
      <c r="AY7" s="3828"/>
      <c r="AZ7" s="3828"/>
      <c r="BA7" s="3828"/>
      <c r="BB7" s="3828"/>
      <c r="BC7" s="3828"/>
      <c r="BD7" s="3828"/>
      <c r="BE7" s="3828"/>
      <c r="BF7" s="3828"/>
      <c r="BG7" s="3828"/>
      <c r="BH7" s="3828"/>
      <c r="BI7" s="3828"/>
      <c r="BJ7" s="3828"/>
      <c r="BK7" s="3828"/>
      <c r="BL7" s="3828"/>
      <c r="BM7" s="3828"/>
      <c r="BN7" s="3828"/>
      <c r="BO7" s="3828"/>
      <c r="BP7" s="3828"/>
      <c r="BQ7" s="3828"/>
      <c r="BR7" s="3828"/>
      <c r="BS7" s="3828"/>
      <c r="BT7" s="3828"/>
      <c r="BU7" s="3828"/>
      <c r="BV7" s="3828"/>
      <c r="BW7" s="3828"/>
      <c r="BX7" s="3828"/>
      <c r="BY7" s="3828"/>
      <c r="BZ7" s="3828"/>
      <c r="CA7" s="3828"/>
      <c r="CB7" s="3828"/>
      <c r="CC7" s="3828"/>
      <c r="CD7" s="3828"/>
      <c r="CE7" s="3828"/>
      <c r="CF7" s="3828"/>
      <c r="CG7" s="3828"/>
      <c r="CH7" s="3828"/>
      <c r="CI7" s="3828"/>
      <c r="CJ7" s="3828"/>
      <c r="CK7" s="3828"/>
      <c r="CL7" s="3828"/>
      <c r="CM7" s="3828"/>
      <c r="CN7" s="3828"/>
      <c r="CO7" s="3828"/>
      <c r="CP7" s="3828"/>
      <c r="CQ7" s="3828"/>
      <c r="CR7" s="3828"/>
      <c r="CS7" s="3828"/>
      <c r="CT7" s="3828"/>
      <c r="CU7" s="3828"/>
      <c r="CV7" s="3828"/>
      <c r="CW7" s="3828"/>
      <c r="CX7" s="3828"/>
      <c r="CY7" s="3828"/>
      <c r="CZ7" s="3828"/>
      <c r="DA7" s="3828"/>
      <c r="DB7" s="3828"/>
      <c r="DC7" s="3828"/>
      <c r="DD7" s="3828"/>
      <c r="DE7" s="3828"/>
      <c r="DF7" s="3828"/>
      <c r="DG7" s="3828"/>
      <c r="DH7" s="3828"/>
      <c r="DI7" s="3828"/>
      <c r="DJ7" s="3828"/>
      <c r="DK7" s="3828"/>
      <c r="DL7" s="3828"/>
      <c r="DM7" s="3828"/>
      <c r="DN7" s="3828"/>
      <c r="DO7" s="3828"/>
      <c r="DP7" s="3828"/>
      <c r="DQ7" s="3828"/>
      <c r="DR7" s="3828"/>
      <c r="DS7" s="3828"/>
      <c r="DT7" s="3828"/>
      <c r="DU7" s="3828"/>
      <c r="DV7" s="3828"/>
      <c r="DW7" s="3828"/>
      <c r="DX7" s="3828"/>
      <c r="DY7" s="3828"/>
      <c r="DZ7" s="3828"/>
      <c r="EA7" s="3828"/>
      <c r="EB7" s="3828"/>
      <c r="EC7" s="3828"/>
      <c r="ED7" s="3828"/>
      <c r="EE7" s="3828"/>
      <c r="EF7" s="3828"/>
      <c r="EG7" s="3828"/>
      <c r="EH7" s="3828"/>
      <c r="EI7" s="3828"/>
      <c r="EJ7" s="3828"/>
      <c r="EK7" s="3828"/>
      <c r="EL7" s="3828"/>
      <c r="EM7" s="3828"/>
      <c r="EN7" s="3828"/>
      <c r="EO7" s="3828"/>
      <c r="EP7" s="3828"/>
      <c r="EQ7" s="3828"/>
      <c r="ER7" s="3828"/>
      <c r="ES7" s="3828"/>
      <c r="ET7" s="3828"/>
      <c r="EU7" s="3828"/>
      <c r="EV7" s="3828"/>
      <c r="EW7" s="3828"/>
      <c r="EX7" s="3828"/>
      <c r="EY7" s="3828"/>
      <c r="EZ7" s="3828"/>
      <c r="FA7" s="3828"/>
      <c r="FB7" s="3828"/>
      <c r="FC7" s="3828"/>
      <c r="FD7" s="3828"/>
      <c r="FE7" s="3828"/>
      <c r="FF7" s="3828"/>
      <c r="FG7" s="3828"/>
      <c r="FH7" s="3828"/>
      <c r="FI7" s="3828"/>
      <c r="FJ7" s="3828"/>
      <c r="FK7" s="3828"/>
      <c r="FL7" s="3828"/>
      <c r="FM7" s="3828"/>
      <c r="FN7" s="3828"/>
      <c r="FO7" s="3828"/>
      <c r="FP7" s="3828"/>
      <c r="FQ7" s="3828"/>
      <c r="FR7" s="3828"/>
      <c r="FS7" s="3828"/>
      <c r="FT7" s="3828"/>
      <c r="FU7" s="3828"/>
      <c r="FV7" s="3828"/>
      <c r="FW7" s="3828"/>
      <c r="FX7" s="3828"/>
      <c r="FY7" s="3828"/>
      <c r="FZ7" s="3828"/>
      <c r="GA7" s="3828"/>
      <c r="GB7" s="3828"/>
      <c r="GC7" s="3828"/>
      <c r="GD7" s="3828"/>
      <c r="GE7" s="3828"/>
      <c r="GF7" s="3828"/>
      <c r="GG7" s="3828"/>
      <c r="GH7" s="3828"/>
      <c r="GI7" s="3828"/>
      <c r="GJ7" s="3828"/>
      <c r="GK7" s="3828"/>
      <c r="GL7" s="3828"/>
      <c r="GM7" s="3828"/>
      <c r="GN7" s="3828"/>
      <c r="GO7" s="3828"/>
      <c r="GP7" s="3828"/>
      <c r="GQ7" s="3828"/>
      <c r="GR7" s="3828"/>
      <c r="GS7" s="3828"/>
      <c r="GT7" s="3828"/>
      <c r="GU7" s="3828"/>
      <c r="GV7" s="3828"/>
      <c r="GW7" s="3828"/>
      <c r="GX7" s="3828"/>
      <c r="GY7" s="3828"/>
      <c r="GZ7" s="3828"/>
      <c r="HA7" s="3828"/>
      <c r="HB7" s="3828"/>
      <c r="HC7" s="3828"/>
      <c r="HD7" s="3828"/>
      <c r="HE7" s="3828"/>
      <c r="HF7" s="3828"/>
      <c r="HG7" s="3828"/>
      <c r="HH7" s="3828"/>
      <c r="HI7" s="3828"/>
      <c r="HJ7" s="3828"/>
      <c r="HK7" s="3828"/>
      <c r="HL7" s="3828"/>
      <c r="HM7" s="3828"/>
      <c r="HN7" s="3828"/>
      <c r="HO7" s="3828"/>
      <c r="HP7" s="3828"/>
      <c r="HQ7" s="3828"/>
      <c r="HR7" s="3828"/>
      <c r="HS7" s="3828"/>
      <c r="HT7" s="3828"/>
      <c r="HU7" s="3828"/>
      <c r="HV7" s="3828"/>
      <c r="HW7" s="3828"/>
      <c r="HX7" s="3828"/>
      <c r="HY7" s="382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8"/>
      <c r="LH7" s="3828"/>
      <c r="LI7" s="3828"/>
      <c r="LJ7" s="3828"/>
      <c r="LK7" s="3828"/>
      <c r="LL7" s="3828"/>
      <c r="LM7" s="3828"/>
      <c r="LN7" s="3828"/>
      <c r="LO7" s="3828"/>
      <c r="LP7" s="3828"/>
      <c r="LQ7" s="3828"/>
      <c r="LR7" s="3828"/>
      <c r="LS7" s="3828"/>
      <c r="LT7" s="3828"/>
      <c r="LU7" s="3828"/>
      <c r="LV7" s="3828"/>
      <c r="LW7" s="3828"/>
      <c r="LX7" s="3828"/>
      <c r="LY7" s="3828"/>
      <c r="LZ7" s="3828"/>
      <c r="MA7" s="3828"/>
      <c r="MB7" s="3828"/>
      <c r="MC7" s="3828"/>
      <c r="MD7" s="3828"/>
      <c r="ME7" s="3828"/>
      <c r="MF7" s="3828"/>
      <c r="MG7" s="3828"/>
      <c r="MH7" s="3828"/>
      <c r="MI7" s="3828"/>
      <c r="MJ7" s="3828"/>
      <c r="MK7" s="3864"/>
      <c r="ML7" s="3864"/>
      <c r="MM7" s="3864"/>
      <c r="MN7" s="3864"/>
      <c r="MO7" s="3864"/>
      <c r="MP7" s="3828"/>
      <c r="MQ7" s="3828"/>
      <c r="MR7" s="3828"/>
      <c r="MS7" s="3828"/>
      <c r="MT7" s="382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2"/>
      <c r="B8" s="2651" t="s">
        <v>3917</v>
      </c>
      <c r="C8" s="1"/>
      <c r="E8" s="1"/>
      <c r="F8" s="1"/>
      <c r="I8" s="3857"/>
      <c r="J8" s="1401" t="s">
        <v>766</v>
      </c>
      <c r="K8" s="1401" t="s">
        <v>3308</v>
      </c>
      <c r="L8" s="762"/>
      <c r="M8" s="762"/>
      <c r="N8" s="1783" t="s">
        <v>6807</v>
      </c>
      <c r="O8" s="3859" t="s">
        <v>6967</v>
      </c>
      <c r="P8" s="3860"/>
      <c r="Q8" s="3878"/>
      <c r="R8" s="763"/>
      <c r="S8" s="767" t="s">
        <v>2544</v>
      </c>
      <c r="T8" s="405"/>
      <c r="W8" s="406"/>
      <c r="X8" s="3828"/>
      <c r="Y8" s="3828"/>
      <c r="Z8" s="3828"/>
      <c r="AA8" s="3828"/>
      <c r="AB8" s="3828"/>
      <c r="AC8" s="3828"/>
      <c r="AD8" s="3828"/>
      <c r="AE8" s="3828"/>
      <c r="AF8" s="3828"/>
      <c r="AG8" s="3828"/>
      <c r="AH8" s="3828"/>
      <c r="AI8" s="3828"/>
      <c r="AJ8" s="3828"/>
      <c r="AK8" s="3828"/>
      <c r="AL8" s="3828"/>
      <c r="AM8" s="3828"/>
      <c r="AN8" s="3828"/>
      <c r="AO8" s="3828"/>
      <c r="AP8" s="3828"/>
      <c r="AQ8" s="3828"/>
      <c r="AR8" s="3828"/>
      <c r="AS8" s="3828"/>
      <c r="AT8" s="3828"/>
      <c r="AU8" s="3828"/>
      <c r="AV8" s="3828"/>
      <c r="AW8" s="3828"/>
      <c r="AX8" s="3828"/>
      <c r="AY8" s="3828"/>
      <c r="AZ8" s="3828"/>
      <c r="BA8" s="3828"/>
      <c r="BB8" s="3828"/>
      <c r="BC8" s="3828"/>
      <c r="BD8" s="3828"/>
      <c r="BE8" s="3828"/>
      <c r="BF8" s="3828"/>
      <c r="BG8" s="3828"/>
      <c r="BH8" s="3828"/>
      <c r="BI8" s="3828"/>
      <c r="BJ8" s="3828"/>
      <c r="BK8" s="3828"/>
      <c r="BL8" s="3828"/>
      <c r="BM8" s="3828"/>
      <c r="BN8" s="3828"/>
      <c r="BO8" s="3828"/>
      <c r="BP8" s="3828"/>
      <c r="BQ8" s="3828"/>
      <c r="BR8" s="3828"/>
      <c r="BS8" s="3828"/>
      <c r="BT8" s="3828"/>
      <c r="BU8" s="3828"/>
      <c r="BV8" s="3828"/>
      <c r="BW8" s="3828"/>
      <c r="BX8" s="3828"/>
      <c r="BY8" s="3828"/>
      <c r="BZ8" s="3828"/>
      <c r="CA8" s="3828"/>
      <c r="CB8" s="3828"/>
      <c r="CC8" s="3828"/>
      <c r="CD8" s="3828"/>
      <c r="CE8" s="3828"/>
      <c r="CF8" s="3828"/>
      <c r="CG8" s="3828"/>
      <c r="CH8" s="3828"/>
      <c r="CI8" s="3828"/>
      <c r="CJ8" s="3828"/>
      <c r="CK8" s="3828"/>
      <c r="CL8" s="3828"/>
      <c r="CM8" s="3828"/>
      <c r="CN8" s="3828"/>
      <c r="CO8" s="3828"/>
      <c r="CP8" s="3828"/>
      <c r="CQ8" s="3828"/>
      <c r="CR8" s="3828"/>
      <c r="CS8" s="3828"/>
      <c r="CT8" s="3828"/>
      <c r="CU8" s="3828"/>
      <c r="CV8" s="3828"/>
      <c r="CW8" s="3828"/>
      <c r="CX8" s="3828"/>
      <c r="CY8" s="3828"/>
      <c r="CZ8" s="3828"/>
      <c r="DA8" s="3828"/>
      <c r="DB8" s="3828"/>
      <c r="DC8" s="3828"/>
      <c r="DD8" s="3828"/>
      <c r="DE8" s="3828"/>
      <c r="DF8" s="3828"/>
      <c r="DG8" s="3828"/>
      <c r="DH8" s="3828"/>
      <c r="DI8" s="3828"/>
      <c r="DJ8" s="3828"/>
      <c r="DK8" s="3828"/>
      <c r="DL8" s="3828"/>
      <c r="DM8" s="3828"/>
      <c r="DN8" s="3828"/>
      <c r="DO8" s="3828"/>
      <c r="DP8" s="3828"/>
      <c r="DQ8" s="3828"/>
      <c r="DR8" s="3828"/>
      <c r="DS8" s="3828"/>
      <c r="DT8" s="3828"/>
      <c r="DU8" s="3828"/>
      <c r="DV8" s="3828"/>
      <c r="DW8" s="3828"/>
      <c r="DX8" s="3828"/>
      <c r="DY8" s="3828"/>
      <c r="DZ8" s="3828"/>
      <c r="EA8" s="3828"/>
      <c r="EB8" s="3828"/>
      <c r="EC8" s="3828"/>
      <c r="ED8" s="3828"/>
      <c r="EE8" s="3828"/>
      <c r="EF8" s="3828"/>
      <c r="EG8" s="3828"/>
      <c r="EH8" s="3828"/>
      <c r="EI8" s="3828"/>
      <c r="EJ8" s="3828"/>
      <c r="EK8" s="3828"/>
      <c r="EL8" s="3828"/>
      <c r="EM8" s="3828"/>
      <c r="EN8" s="3828"/>
      <c r="EO8" s="3828"/>
      <c r="EP8" s="3828"/>
      <c r="EQ8" s="3828"/>
      <c r="ER8" s="3828"/>
      <c r="ES8" s="3828"/>
      <c r="ET8" s="3828"/>
      <c r="EU8" s="3828"/>
      <c r="EV8" s="3828"/>
      <c r="EW8" s="3828"/>
      <c r="EX8" s="3828"/>
      <c r="EY8" s="3828"/>
      <c r="EZ8" s="3828"/>
      <c r="FA8" s="3828"/>
      <c r="FB8" s="3828"/>
      <c r="FC8" s="3828"/>
      <c r="FD8" s="3828"/>
      <c r="FE8" s="3828"/>
      <c r="FF8" s="3828"/>
      <c r="FG8" s="3828"/>
      <c r="FH8" s="3828"/>
      <c r="FI8" s="3828"/>
      <c r="FJ8" s="3828"/>
      <c r="FK8" s="3828"/>
      <c r="FL8" s="3828"/>
      <c r="FM8" s="3828"/>
      <c r="FN8" s="3828"/>
      <c r="FO8" s="3828"/>
      <c r="FP8" s="3828"/>
      <c r="FQ8" s="3828"/>
      <c r="FR8" s="3828"/>
      <c r="FS8" s="3828"/>
      <c r="FT8" s="3828"/>
      <c r="FU8" s="3828"/>
      <c r="FV8" s="3828"/>
      <c r="FW8" s="3828"/>
      <c r="FX8" s="3828"/>
      <c r="FY8" s="3828"/>
      <c r="FZ8" s="3828"/>
      <c r="GA8" s="3828"/>
      <c r="GB8" s="3828"/>
      <c r="GC8" s="3828"/>
      <c r="GD8" s="3828"/>
      <c r="GE8" s="3828"/>
      <c r="GF8" s="3828"/>
      <c r="GG8" s="3828"/>
      <c r="GH8" s="3828"/>
      <c r="GI8" s="3828"/>
      <c r="GJ8" s="3828"/>
      <c r="GK8" s="3828"/>
      <c r="GL8" s="3828"/>
      <c r="GM8" s="3828"/>
      <c r="GN8" s="3828"/>
      <c r="GO8" s="3828"/>
      <c r="GP8" s="3828"/>
      <c r="GQ8" s="3828"/>
      <c r="GR8" s="3828"/>
      <c r="GS8" s="3828"/>
      <c r="GT8" s="3828"/>
      <c r="GU8" s="3828"/>
      <c r="GV8" s="3828"/>
      <c r="GW8" s="3828"/>
      <c r="GX8" s="3828"/>
      <c r="GY8" s="3828"/>
      <c r="GZ8" s="3828"/>
      <c r="HA8" s="3828"/>
      <c r="HB8" s="3828"/>
      <c r="HC8" s="3828"/>
      <c r="HD8" s="3828"/>
      <c r="HE8" s="3828"/>
      <c r="HF8" s="3828"/>
      <c r="HG8" s="3828"/>
      <c r="HH8" s="3828"/>
      <c r="HI8" s="3828"/>
      <c r="HJ8" s="3828"/>
      <c r="HK8" s="3828"/>
      <c r="HL8" s="3828"/>
      <c r="HM8" s="3828"/>
      <c r="HN8" s="3828"/>
      <c r="HO8" s="3828"/>
      <c r="HP8" s="3828"/>
      <c r="HQ8" s="3828"/>
      <c r="HR8" s="3828"/>
      <c r="HS8" s="3828"/>
      <c r="HT8" s="3828"/>
      <c r="HU8" s="3828"/>
      <c r="HV8" s="3828"/>
      <c r="HW8" s="3828"/>
      <c r="HX8" s="3828"/>
      <c r="HY8" s="382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8"/>
      <c r="LH8" s="3828"/>
      <c r="LI8" s="3828"/>
      <c r="LJ8" s="3828"/>
      <c r="LK8" s="3828"/>
      <c r="LL8" s="3828"/>
      <c r="LM8" s="3828"/>
      <c r="LN8" s="3828"/>
      <c r="LO8" s="3828"/>
      <c r="LP8" s="3828"/>
      <c r="LQ8" s="3828"/>
      <c r="LR8" s="3828"/>
      <c r="LS8" s="3828"/>
      <c r="LT8" s="3828"/>
      <c r="LU8" s="3828"/>
      <c r="LV8" s="3828"/>
      <c r="LW8" s="3828"/>
      <c r="LX8" s="3828"/>
      <c r="LY8" s="3828"/>
      <c r="LZ8" s="3828"/>
      <c r="MA8" s="3828"/>
      <c r="MB8" s="3828"/>
      <c r="MC8" s="3828"/>
      <c r="MD8" s="3828"/>
      <c r="ME8" s="3828"/>
      <c r="MF8" s="3828"/>
      <c r="MG8" s="3828"/>
      <c r="MH8" s="3828"/>
      <c r="MI8" s="3828"/>
      <c r="MJ8" s="3828"/>
      <c r="MK8" s="3864"/>
      <c r="ML8" s="3864"/>
      <c r="MM8" s="3864"/>
      <c r="MN8" s="3864"/>
      <c r="MO8" s="3864"/>
      <c r="MP8" s="3828"/>
      <c r="MQ8" s="3828"/>
      <c r="MR8" s="3828"/>
      <c r="MS8" s="3828"/>
      <c r="MT8" s="382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2"/>
      <c r="B9" s="1190" t="s">
        <v>3918</v>
      </c>
      <c r="C9" s="1401" t="s">
        <v>164</v>
      </c>
      <c r="D9" s="1401" t="s">
        <v>519</v>
      </c>
      <c r="E9" s="1401" t="s">
        <v>1417</v>
      </c>
      <c r="F9" s="1401" t="s">
        <v>1417</v>
      </c>
      <c r="G9" s="3857" t="s">
        <v>6305</v>
      </c>
      <c r="H9" s="2648" t="s">
        <v>3441</v>
      </c>
      <c r="I9" s="3857"/>
      <c r="J9" s="3853" t="s">
        <v>6296</v>
      </c>
      <c r="K9" s="1401" t="s">
        <v>2296</v>
      </c>
      <c r="L9" s="3862" t="s">
        <v>138</v>
      </c>
      <c r="M9" s="3863"/>
      <c r="N9" s="1401" t="s">
        <v>2262</v>
      </c>
      <c r="O9" s="1401" t="s">
        <v>6810</v>
      </c>
      <c r="P9" s="3855" t="s">
        <v>6533</v>
      </c>
      <c r="Q9" s="3878"/>
      <c r="R9" s="1401" t="s">
        <v>2543</v>
      </c>
      <c r="S9" s="1401" t="s">
        <v>2545</v>
      </c>
      <c r="T9" s="407"/>
      <c r="W9" s="408"/>
      <c r="X9" s="3828"/>
      <c r="Y9" s="3828"/>
      <c r="Z9" s="3828"/>
      <c r="AA9" s="3828"/>
      <c r="AB9" s="3828"/>
      <c r="AC9" s="3828"/>
      <c r="AD9" s="3828"/>
      <c r="AE9" s="3828"/>
      <c r="AF9" s="3828"/>
      <c r="AG9" s="3828"/>
      <c r="AH9" s="3828"/>
      <c r="AI9" s="3828"/>
      <c r="AJ9" s="3828"/>
      <c r="AK9" s="3828"/>
      <c r="AL9" s="3828"/>
      <c r="AM9" s="3828"/>
      <c r="AN9" s="3828"/>
      <c r="AO9" s="3828"/>
      <c r="AP9" s="3828"/>
      <c r="AQ9" s="3828"/>
      <c r="AR9" s="3828"/>
      <c r="AS9" s="3828"/>
      <c r="AT9" s="3828"/>
      <c r="AU9" s="3828"/>
      <c r="AV9" s="3828"/>
      <c r="AW9" s="3828"/>
      <c r="AX9" s="3828"/>
      <c r="AY9" s="3828"/>
      <c r="AZ9" s="3828"/>
      <c r="BA9" s="3828"/>
      <c r="BB9" s="3828"/>
      <c r="BC9" s="3828"/>
      <c r="BD9" s="3828"/>
      <c r="BE9" s="3828"/>
      <c r="BF9" s="3828"/>
      <c r="BG9" s="3828"/>
      <c r="BH9" s="3828"/>
      <c r="BI9" s="3828"/>
      <c r="BJ9" s="3828"/>
      <c r="BK9" s="3828"/>
      <c r="BL9" s="3828"/>
      <c r="BM9" s="3828"/>
      <c r="BN9" s="3828"/>
      <c r="BO9" s="3828"/>
      <c r="BP9" s="3828"/>
      <c r="BQ9" s="3828"/>
      <c r="BR9" s="3828"/>
      <c r="BS9" s="3828"/>
      <c r="BT9" s="3828"/>
      <c r="BU9" s="3828"/>
      <c r="BV9" s="3828"/>
      <c r="BW9" s="3828"/>
      <c r="BX9" s="3828"/>
      <c r="BY9" s="3828"/>
      <c r="BZ9" s="3828"/>
      <c r="CA9" s="3828"/>
      <c r="CB9" s="3828"/>
      <c r="CC9" s="3828"/>
      <c r="CD9" s="3828"/>
      <c r="CE9" s="3828"/>
      <c r="CF9" s="3828"/>
      <c r="CG9" s="3828"/>
      <c r="CH9" s="3828"/>
      <c r="CI9" s="3828"/>
      <c r="CJ9" s="3828"/>
      <c r="CK9" s="3828"/>
      <c r="CL9" s="3828"/>
      <c r="CM9" s="3828"/>
      <c r="CN9" s="3828"/>
      <c r="CO9" s="3828"/>
      <c r="CP9" s="3828"/>
      <c r="CQ9" s="3828"/>
      <c r="CR9" s="3828"/>
      <c r="CS9" s="3828"/>
      <c r="CT9" s="3828"/>
      <c r="CU9" s="3828"/>
      <c r="CV9" s="3828"/>
      <c r="CW9" s="3828"/>
      <c r="CX9" s="3828"/>
      <c r="CY9" s="3828"/>
      <c r="CZ9" s="3828"/>
      <c r="DA9" s="3828"/>
      <c r="DB9" s="3828"/>
      <c r="DC9" s="3828"/>
      <c r="DD9" s="3828"/>
      <c r="DE9" s="3828"/>
      <c r="DF9" s="3828"/>
      <c r="DG9" s="3828"/>
      <c r="DH9" s="3828"/>
      <c r="DI9" s="3828"/>
      <c r="DJ9" s="3828"/>
      <c r="DK9" s="3828"/>
      <c r="DL9" s="3828"/>
      <c r="DM9" s="3828"/>
      <c r="DN9" s="3828"/>
      <c r="DO9" s="3828"/>
      <c r="DP9" s="3828"/>
      <c r="DQ9" s="3828"/>
      <c r="DR9" s="3828"/>
      <c r="DS9" s="3828"/>
      <c r="DT9" s="3828"/>
      <c r="DU9" s="3828"/>
      <c r="DV9" s="3828"/>
      <c r="DW9" s="3828"/>
      <c r="DX9" s="3828"/>
      <c r="DY9" s="3828"/>
      <c r="DZ9" s="3828"/>
      <c r="EA9" s="3828"/>
      <c r="EB9" s="3828"/>
      <c r="EC9" s="3828"/>
      <c r="ED9" s="3828"/>
      <c r="EE9" s="3828"/>
      <c r="EF9" s="3828"/>
      <c r="EG9" s="3828"/>
      <c r="EH9" s="3828"/>
      <c r="EI9" s="3828"/>
      <c r="EJ9" s="3828"/>
      <c r="EK9" s="3828"/>
      <c r="EL9" s="3828"/>
      <c r="EM9" s="3828"/>
      <c r="EN9" s="3828"/>
      <c r="EO9" s="3828"/>
      <c r="EP9" s="3828"/>
      <c r="EQ9" s="3828"/>
      <c r="ER9" s="3828"/>
      <c r="ES9" s="3828"/>
      <c r="ET9" s="3828"/>
      <c r="EU9" s="3828"/>
      <c r="EV9" s="3828"/>
      <c r="EW9" s="3828"/>
      <c r="EX9" s="3828"/>
      <c r="EY9" s="3828"/>
      <c r="EZ9" s="3828"/>
      <c r="FA9" s="3828"/>
      <c r="FB9" s="3828"/>
      <c r="FC9" s="3828"/>
      <c r="FD9" s="3828"/>
      <c r="FE9" s="3828"/>
      <c r="FF9" s="3828"/>
      <c r="FG9" s="3828"/>
      <c r="FH9" s="3828"/>
      <c r="FI9" s="3828"/>
      <c r="FJ9" s="3828"/>
      <c r="FK9" s="3828"/>
      <c r="FL9" s="3828"/>
      <c r="FM9" s="3828"/>
      <c r="FN9" s="3828"/>
      <c r="FO9" s="3828"/>
      <c r="FP9" s="3828"/>
      <c r="FQ9" s="3828"/>
      <c r="FR9" s="3828"/>
      <c r="FS9" s="3828"/>
      <c r="FT9" s="3828"/>
      <c r="FU9" s="3828"/>
      <c r="FV9" s="3828"/>
      <c r="FW9" s="3828"/>
      <c r="FX9" s="3828"/>
      <c r="FY9" s="3828"/>
      <c r="FZ9" s="3828"/>
      <c r="GA9" s="3828"/>
      <c r="GB9" s="3828"/>
      <c r="GC9" s="3828"/>
      <c r="GD9" s="3828"/>
      <c r="GE9" s="3828"/>
      <c r="GF9" s="3828"/>
      <c r="GG9" s="3828"/>
      <c r="GH9" s="3828"/>
      <c r="GI9" s="3828"/>
      <c r="GJ9" s="3828"/>
      <c r="GK9" s="3828"/>
      <c r="GL9" s="3828"/>
      <c r="GM9" s="3828"/>
      <c r="GN9" s="3828"/>
      <c r="GO9" s="3828"/>
      <c r="GP9" s="3828"/>
      <c r="GQ9" s="3828"/>
      <c r="GR9" s="3828"/>
      <c r="GS9" s="3828"/>
      <c r="GT9" s="3828"/>
      <c r="GU9" s="3828"/>
      <c r="GV9" s="3828"/>
      <c r="GW9" s="3828"/>
      <c r="GX9" s="3828"/>
      <c r="GY9" s="3828"/>
      <c r="GZ9" s="3828"/>
      <c r="HA9" s="3828"/>
      <c r="HB9" s="3828"/>
      <c r="HC9" s="3828"/>
      <c r="HD9" s="3828"/>
      <c r="HE9" s="3828"/>
      <c r="HF9" s="3828"/>
      <c r="HG9" s="3828"/>
      <c r="HH9" s="3828"/>
      <c r="HI9" s="3828"/>
      <c r="HJ9" s="3828"/>
      <c r="HK9" s="3828"/>
      <c r="HL9" s="3828"/>
      <c r="HM9" s="3828"/>
      <c r="HN9" s="3828"/>
      <c r="HO9" s="3828"/>
      <c r="HP9" s="3828"/>
      <c r="HQ9" s="3828"/>
      <c r="HR9" s="3828"/>
      <c r="HS9" s="3828"/>
      <c r="HT9" s="3828"/>
      <c r="HU9" s="3828"/>
      <c r="HV9" s="3828"/>
      <c r="HW9" s="3828"/>
      <c r="HX9" s="3828"/>
      <c r="HY9" s="3828"/>
      <c r="HZ9" s="3828" t="s">
        <v>1405</v>
      </c>
      <c r="IA9" s="1812" t="s">
        <v>2329</v>
      </c>
      <c r="IB9" s="1812" t="s">
        <v>2330</v>
      </c>
      <c r="IC9" s="1812" t="s">
        <v>2331</v>
      </c>
      <c r="ID9" s="1812" t="s">
        <v>2332</v>
      </c>
      <c r="IE9" s="3828" t="s">
        <v>2383</v>
      </c>
      <c r="IF9" s="3828" t="s">
        <v>2383</v>
      </c>
      <c r="IG9" s="3828" t="s">
        <v>2383</v>
      </c>
      <c r="IH9" s="3828" t="s">
        <v>2383</v>
      </c>
      <c r="II9" s="3828" t="s">
        <v>2383</v>
      </c>
      <c r="IJ9" s="3828" t="s">
        <v>3120</v>
      </c>
      <c r="IK9" s="3828" t="s">
        <v>3120</v>
      </c>
      <c r="IL9" s="3828" t="s">
        <v>3120</v>
      </c>
      <c r="IM9" s="3828" t="s">
        <v>3120</v>
      </c>
      <c r="IN9" s="3828" t="s">
        <v>3120</v>
      </c>
      <c r="IO9" s="1812" t="s">
        <v>539</v>
      </c>
      <c r="IP9" s="1812" t="s">
        <v>2329</v>
      </c>
      <c r="IQ9" s="1812" t="s">
        <v>2330</v>
      </c>
      <c r="IR9" s="1812" t="s">
        <v>2331</v>
      </c>
      <c r="IS9" s="1812" t="s">
        <v>2332</v>
      </c>
      <c r="IT9" s="1812" t="s">
        <v>539</v>
      </c>
      <c r="IU9" s="1812" t="s">
        <v>2329</v>
      </c>
      <c r="IV9" s="1812" t="s">
        <v>2330</v>
      </c>
      <c r="IW9" s="1812" t="s">
        <v>2331</v>
      </c>
      <c r="IX9" s="1812" t="s">
        <v>2332</v>
      </c>
      <c r="IY9" s="3828" t="s">
        <v>6590</v>
      </c>
      <c r="IZ9" s="3828" t="s">
        <v>6590</v>
      </c>
      <c r="JA9" s="3828" t="s">
        <v>6590</v>
      </c>
      <c r="JB9" s="3828" t="s">
        <v>6590</v>
      </c>
      <c r="JC9" s="3828" t="s">
        <v>6590</v>
      </c>
      <c r="JD9" s="3828" t="s">
        <v>6591</v>
      </c>
      <c r="JE9" s="3828" t="s">
        <v>6591</v>
      </c>
      <c r="JF9" s="3828" t="s">
        <v>6591</v>
      </c>
      <c r="JG9" s="3828" t="s">
        <v>6591</v>
      </c>
      <c r="JH9" s="3828" t="s">
        <v>6591</v>
      </c>
      <c r="JI9" s="3828" t="s">
        <v>6593</v>
      </c>
      <c r="JJ9" s="3828" t="s">
        <v>6593</v>
      </c>
      <c r="JK9" s="3828" t="s">
        <v>6593</v>
      </c>
      <c r="JL9" s="3828" t="s">
        <v>6593</v>
      </c>
      <c r="JM9" s="3828" t="s">
        <v>6593</v>
      </c>
      <c r="JN9" s="3828" t="s">
        <v>6594</v>
      </c>
      <c r="JO9" s="3828" t="s">
        <v>6594</v>
      </c>
      <c r="JP9" s="3828" t="s">
        <v>6594</v>
      </c>
      <c r="JQ9" s="3828" t="s">
        <v>6594</v>
      </c>
      <c r="JR9" s="3828" t="s">
        <v>6594</v>
      </c>
      <c r="JS9" s="3828" t="s">
        <v>6595</v>
      </c>
      <c r="JT9" s="3828" t="s">
        <v>6595</v>
      </c>
      <c r="JU9" s="3828" t="s">
        <v>6595</v>
      </c>
      <c r="JV9" s="3828" t="s">
        <v>6595</v>
      </c>
      <c r="JW9" s="3828" t="s">
        <v>6595</v>
      </c>
      <c r="JX9" s="3828" t="s">
        <v>6811</v>
      </c>
      <c r="JY9" s="3828" t="s">
        <v>6811</v>
      </c>
      <c r="JZ9" s="3828" t="s">
        <v>6811</v>
      </c>
      <c r="KA9" s="3828" t="s">
        <v>6811</v>
      </c>
      <c r="KB9" s="3828" t="s">
        <v>6811</v>
      </c>
      <c r="KC9" s="3828" t="s">
        <v>6828</v>
      </c>
      <c r="KD9" s="3828" t="s">
        <v>6828</v>
      </c>
      <c r="KE9" s="3828" t="s">
        <v>6828</v>
      </c>
      <c r="KF9" s="3828" t="s">
        <v>6828</v>
      </c>
      <c r="KG9" s="3828" t="s">
        <v>6828</v>
      </c>
      <c r="KH9" s="3828" t="s">
        <v>6829</v>
      </c>
      <c r="KI9" s="3828" t="s">
        <v>6829</v>
      </c>
      <c r="KJ9" s="3828" t="s">
        <v>6829</v>
      </c>
      <c r="KK9" s="3828" t="s">
        <v>6829</v>
      </c>
      <c r="KL9" s="3828" t="s">
        <v>6829</v>
      </c>
      <c r="KM9" s="3828" t="s">
        <v>6597</v>
      </c>
      <c r="KN9" s="3828" t="s">
        <v>6597</v>
      </c>
      <c r="KO9" s="3828" t="s">
        <v>6597</v>
      </c>
      <c r="KP9" s="3828" t="s">
        <v>6597</v>
      </c>
      <c r="KQ9" s="3828" t="s">
        <v>6597</v>
      </c>
      <c r="KR9" s="3828" t="s">
        <v>6812</v>
      </c>
      <c r="KS9" s="3828" t="s">
        <v>6812</v>
      </c>
      <c r="KT9" s="3828" t="s">
        <v>6812</v>
      </c>
      <c r="KU9" s="3828" t="s">
        <v>6812</v>
      </c>
      <c r="KV9" s="3828" t="s">
        <v>6812</v>
      </c>
      <c r="KW9" s="3828" t="s">
        <v>6830</v>
      </c>
      <c r="KX9" s="3828" t="s">
        <v>6830</v>
      </c>
      <c r="KY9" s="3828" t="s">
        <v>6830</v>
      </c>
      <c r="KZ9" s="3828" t="s">
        <v>6830</v>
      </c>
      <c r="LA9" s="3828" t="s">
        <v>6830</v>
      </c>
      <c r="LB9" s="3828" t="s">
        <v>6831</v>
      </c>
      <c r="LC9" s="3828" t="s">
        <v>6831</v>
      </c>
      <c r="LD9" s="3828" t="s">
        <v>6831</v>
      </c>
      <c r="LE9" s="3828" t="s">
        <v>6831</v>
      </c>
      <c r="LF9" s="3828" t="s">
        <v>6831</v>
      </c>
      <c r="LG9" s="3828"/>
      <c r="LH9" s="3828"/>
      <c r="LI9" s="3828"/>
      <c r="LJ9" s="3828"/>
      <c r="LK9" s="3828"/>
      <c r="LL9" s="3828"/>
      <c r="LM9" s="3828"/>
      <c r="LN9" s="3828"/>
      <c r="LO9" s="3828"/>
      <c r="LP9" s="3828"/>
      <c r="LQ9" s="3828"/>
      <c r="LR9" s="3828"/>
      <c r="LS9" s="3828"/>
      <c r="LT9" s="3828"/>
      <c r="LU9" s="3828"/>
      <c r="LV9" s="3828"/>
      <c r="LW9" s="3828"/>
      <c r="LX9" s="3828"/>
      <c r="LY9" s="3828"/>
      <c r="LZ9" s="3828"/>
      <c r="MA9" s="3828"/>
      <c r="MB9" s="3828"/>
      <c r="MC9" s="3828"/>
      <c r="MD9" s="3828"/>
      <c r="ME9" s="3828"/>
      <c r="MF9" s="3828"/>
      <c r="MG9" s="3828"/>
      <c r="MH9" s="3828"/>
      <c r="MI9" s="3828"/>
      <c r="MJ9" s="3828"/>
      <c r="MK9" s="3864"/>
      <c r="ML9" s="3864"/>
      <c r="MM9" s="3864"/>
      <c r="MN9" s="3864"/>
      <c r="MO9" s="3864"/>
      <c r="MP9" s="3828"/>
      <c r="MQ9" s="3828"/>
      <c r="MR9" s="3828"/>
      <c r="MS9" s="3828"/>
      <c r="MT9" s="382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2"/>
      <c r="B10" s="1345" t="s">
        <v>4124</v>
      </c>
      <c r="C10" s="1401" t="s">
        <v>163</v>
      </c>
      <c r="D10" s="1401" t="s">
        <v>165</v>
      </c>
      <c r="E10" s="1401" t="s">
        <v>1418</v>
      </c>
      <c r="F10" s="1401" t="s">
        <v>1231</v>
      </c>
      <c r="G10" s="3858"/>
      <c r="H10" s="1401" t="s">
        <v>6306</v>
      </c>
      <c r="I10" s="3858"/>
      <c r="J10" s="3854"/>
      <c r="K10" s="431" t="s">
        <v>338</v>
      </c>
      <c r="L10" s="1401" t="s">
        <v>1469</v>
      </c>
      <c r="M10" s="1401" t="s">
        <v>513</v>
      </c>
      <c r="N10" s="1401" t="s">
        <v>1417</v>
      </c>
      <c r="O10" s="1401" t="s">
        <v>6827</v>
      </c>
      <c r="P10" s="3856"/>
      <c r="Q10" s="3879"/>
      <c r="R10" s="1401" t="s">
        <v>1419</v>
      </c>
      <c r="S10" s="1401" t="s">
        <v>2546</v>
      </c>
      <c r="T10" s="31" t="s">
        <v>1760</v>
      </c>
      <c r="W10" s="31"/>
      <c r="X10" s="3828"/>
      <c r="Y10" s="3828"/>
      <c r="Z10" s="3828"/>
      <c r="AA10" s="3828"/>
      <c r="AB10" s="3828"/>
      <c r="AC10" s="3828"/>
      <c r="AD10" s="3828"/>
      <c r="AE10" s="3828"/>
      <c r="AF10" s="3828"/>
      <c r="AG10" s="3828"/>
      <c r="AH10" s="3828"/>
      <c r="AI10" s="3828"/>
      <c r="AJ10" s="3828"/>
      <c r="AK10" s="3828"/>
      <c r="AL10" s="3828"/>
      <c r="AM10" s="3828"/>
      <c r="AN10" s="3828"/>
      <c r="AO10" s="3828"/>
      <c r="AP10" s="3828"/>
      <c r="AQ10" s="3828"/>
      <c r="AR10" s="3828"/>
      <c r="AS10" s="3828"/>
      <c r="AT10" s="3828"/>
      <c r="AU10" s="3828"/>
      <c r="AV10" s="3828"/>
      <c r="AW10" s="3828"/>
      <c r="AX10" s="3828"/>
      <c r="AY10" s="3828"/>
      <c r="AZ10" s="3828"/>
      <c r="BA10" s="3828"/>
      <c r="BB10" s="3828"/>
      <c r="BC10" s="3828"/>
      <c r="BD10" s="3828"/>
      <c r="BE10" s="3828"/>
      <c r="BF10" s="3828"/>
      <c r="BG10" s="3828"/>
      <c r="BH10" s="3828"/>
      <c r="BI10" s="3828"/>
      <c r="BJ10" s="3828"/>
      <c r="BK10" s="3828"/>
      <c r="BL10" s="3828"/>
      <c r="BM10" s="3828"/>
      <c r="BN10" s="3828"/>
      <c r="BO10" s="3828"/>
      <c r="BP10" s="3828"/>
      <c r="BQ10" s="3828"/>
      <c r="BR10" s="3828"/>
      <c r="BS10" s="3828"/>
      <c r="BT10" s="3828"/>
      <c r="BU10" s="3828"/>
      <c r="BV10" s="3828"/>
      <c r="BW10" s="3828"/>
      <c r="BX10" s="3828"/>
      <c r="BY10" s="3828"/>
      <c r="BZ10" s="3828"/>
      <c r="CA10" s="3828"/>
      <c r="CB10" s="3828"/>
      <c r="CC10" s="3828"/>
      <c r="CD10" s="3828"/>
      <c r="CE10" s="3828"/>
      <c r="CF10" s="3828"/>
      <c r="CG10" s="3828"/>
      <c r="CH10" s="3828"/>
      <c r="CI10" s="3828"/>
      <c r="CJ10" s="3828"/>
      <c r="CK10" s="3828"/>
      <c r="CL10" s="3828"/>
      <c r="CM10" s="3828"/>
      <c r="CN10" s="3828"/>
      <c r="CO10" s="3828"/>
      <c r="CP10" s="3828"/>
      <c r="CQ10" s="3828"/>
      <c r="CR10" s="3828"/>
      <c r="CS10" s="3828"/>
      <c r="CT10" s="3828"/>
      <c r="CU10" s="3828"/>
      <c r="CV10" s="3828"/>
      <c r="CW10" s="3828"/>
      <c r="CX10" s="3828"/>
      <c r="CY10" s="3828"/>
      <c r="CZ10" s="3828"/>
      <c r="DA10" s="3828"/>
      <c r="DB10" s="3828"/>
      <c r="DC10" s="3828"/>
      <c r="DD10" s="3828"/>
      <c r="DE10" s="3828"/>
      <c r="DF10" s="3828"/>
      <c r="DG10" s="3828"/>
      <c r="DH10" s="3828"/>
      <c r="DI10" s="3828"/>
      <c r="DJ10" s="3828"/>
      <c r="DK10" s="3828"/>
      <c r="DL10" s="3828"/>
      <c r="DM10" s="3828"/>
      <c r="DN10" s="3828"/>
      <c r="DO10" s="3828"/>
      <c r="DP10" s="3828"/>
      <c r="DQ10" s="3828"/>
      <c r="DR10" s="3828"/>
      <c r="DS10" s="3828"/>
      <c r="DT10" s="3828"/>
      <c r="DU10" s="3828"/>
      <c r="DV10" s="3828"/>
      <c r="DW10" s="3828"/>
      <c r="DX10" s="3828"/>
      <c r="DY10" s="3828"/>
      <c r="DZ10" s="3828"/>
      <c r="EA10" s="3828"/>
      <c r="EB10" s="3828"/>
      <c r="EC10" s="3828"/>
      <c r="ED10" s="3828"/>
      <c r="EE10" s="3828"/>
      <c r="EF10" s="3828"/>
      <c r="EG10" s="3828"/>
      <c r="EH10" s="3828"/>
      <c r="EI10" s="3828"/>
      <c r="EJ10" s="3828"/>
      <c r="EK10" s="3828"/>
      <c r="EL10" s="3828"/>
      <c r="EM10" s="3828"/>
      <c r="EN10" s="3828"/>
      <c r="EO10" s="3828"/>
      <c r="EP10" s="3828"/>
      <c r="EQ10" s="3828"/>
      <c r="ER10" s="3828"/>
      <c r="ES10" s="3828"/>
      <c r="ET10" s="3828"/>
      <c r="EU10" s="3828"/>
      <c r="EV10" s="3828"/>
      <c r="EW10" s="3828"/>
      <c r="EX10" s="3828"/>
      <c r="EY10" s="3828"/>
      <c r="EZ10" s="3828"/>
      <c r="FA10" s="3828"/>
      <c r="FB10" s="3828"/>
      <c r="FC10" s="3828"/>
      <c r="FD10" s="3828"/>
      <c r="FE10" s="3828"/>
      <c r="FF10" s="3828"/>
      <c r="FG10" s="3828"/>
      <c r="FH10" s="3828"/>
      <c r="FI10" s="3828"/>
      <c r="FJ10" s="3828"/>
      <c r="FK10" s="3828"/>
      <c r="FL10" s="3828"/>
      <c r="FM10" s="3828"/>
      <c r="FN10" s="3828"/>
      <c r="FO10" s="3828"/>
      <c r="FP10" s="3828"/>
      <c r="FQ10" s="3828"/>
      <c r="FR10" s="3828"/>
      <c r="FS10" s="3828"/>
      <c r="FT10" s="3828"/>
      <c r="FU10" s="3828"/>
      <c r="FV10" s="3828"/>
      <c r="FW10" s="3828"/>
      <c r="FX10" s="3828"/>
      <c r="FY10" s="3828"/>
      <c r="FZ10" s="3828"/>
      <c r="GA10" s="3828"/>
      <c r="GB10" s="3828"/>
      <c r="GC10" s="3828"/>
      <c r="GD10" s="3828"/>
      <c r="GE10" s="3828"/>
      <c r="GF10" s="3828"/>
      <c r="GG10" s="3828"/>
      <c r="GH10" s="3828"/>
      <c r="GI10" s="3828"/>
      <c r="GJ10" s="3828"/>
      <c r="GK10" s="3828"/>
      <c r="GL10" s="3828"/>
      <c r="GM10" s="3828"/>
      <c r="GN10" s="3828"/>
      <c r="GO10" s="3828"/>
      <c r="GP10" s="3828"/>
      <c r="GQ10" s="3828"/>
      <c r="GR10" s="3828"/>
      <c r="GS10" s="3828"/>
      <c r="GT10" s="3828"/>
      <c r="GU10" s="3828"/>
      <c r="GV10" s="3828"/>
      <c r="GW10" s="3828"/>
      <c r="GX10" s="3828"/>
      <c r="GY10" s="3828"/>
      <c r="GZ10" s="3828"/>
      <c r="HA10" s="3828"/>
      <c r="HB10" s="3828"/>
      <c r="HC10" s="3828"/>
      <c r="HD10" s="3828"/>
      <c r="HE10" s="3828"/>
      <c r="HF10" s="3828"/>
      <c r="HG10" s="3828"/>
      <c r="HH10" s="3828"/>
      <c r="HI10" s="3828"/>
      <c r="HJ10" s="3828"/>
      <c r="HK10" s="3828"/>
      <c r="HL10" s="3828"/>
      <c r="HM10" s="3828"/>
      <c r="HN10" s="3828"/>
      <c r="HO10" s="3828"/>
      <c r="HP10" s="3828"/>
      <c r="HQ10" s="3828"/>
      <c r="HR10" s="3828"/>
      <c r="HS10" s="3828"/>
      <c r="HT10" s="3828"/>
      <c r="HU10" s="3828"/>
      <c r="HV10" s="3828"/>
      <c r="HW10" s="3828"/>
      <c r="HX10" s="3828"/>
      <c r="HY10" s="3828"/>
      <c r="HZ10" s="3828"/>
      <c r="IA10" s="1812" t="s">
        <v>2382</v>
      </c>
      <c r="IB10" s="1812" t="s">
        <v>2382</v>
      </c>
      <c r="IC10" s="1812" t="s">
        <v>2382</v>
      </c>
      <c r="ID10" s="1812" t="s">
        <v>2382</v>
      </c>
      <c r="IE10" s="3828"/>
      <c r="IF10" s="3828"/>
      <c r="IG10" s="3828"/>
      <c r="IH10" s="3828"/>
      <c r="II10" s="3828"/>
      <c r="IJ10" s="3828"/>
      <c r="IK10" s="3828"/>
      <c r="IL10" s="3828"/>
      <c r="IM10" s="3828"/>
      <c r="IN10" s="3828"/>
      <c r="IO10" s="1812" t="s">
        <v>2384</v>
      </c>
      <c r="IP10" s="1812" t="s">
        <v>2384</v>
      </c>
      <c r="IQ10" s="1812" t="s">
        <v>2384</v>
      </c>
      <c r="IR10" s="1812" t="s">
        <v>2384</v>
      </c>
      <c r="IS10" s="1812" t="s">
        <v>2384</v>
      </c>
      <c r="IT10" s="1812" t="s">
        <v>3121</v>
      </c>
      <c r="IU10" s="1812" t="s">
        <v>3121</v>
      </c>
      <c r="IV10" s="1812" t="s">
        <v>3121</v>
      </c>
      <c r="IW10" s="1812" t="s">
        <v>3121</v>
      </c>
      <c r="IX10" s="1812" t="s">
        <v>3121</v>
      </c>
      <c r="IY10" s="3828"/>
      <c r="IZ10" s="3828"/>
      <c r="JA10" s="3828"/>
      <c r="JB10" s="3828"/>
      <c r="JC10" s="3828"/>
      <c r="JD10" s="3828"/>
      <c r="JE10" s="3828"/>
      <c r="JF10" s="3828"/>
      <c r="JG10" s="3828"/>
      <c r="JH10" s="3828"/>
      <c r="JI10" s="3828"/>
      <c r="JJ10" s="3828"/>
      <c r="JK10" s="3828"/>
      <c r="JL10" s="3828"/>
      <c r="JM10" s="3828"/>
      <c r="JN10" s="3828"/>
      <c r="JO10" s="3828"/>
      <c r="JP10" s="3828"/>
      <c r="JQ10" s="3828"/>
      <c r="JR10" s="3828"/>
      <c r="JS10" s="3828"/>
      <c r="JT10" s="3828"/>
      <c r="JU10" s="3828"/>
      <c r="JV10" s="3828"/>
      <c r="JW10" s="3828"/>
      <c r="JX10" s="3828"/>
      <c r="JY10" s="3828"/>
      <c r="JZ10" s="3828"/>
      <c r="KA10" s="3828"/>
      <c r="KB10" s="3828"/>
      <c r="KC10" s="3828"/>
      <c r="KD10" s="3828"/>
      <c r="KE10" s="3828"/>
      <c r="KF10" s="3828"/>
      <c r="KG10" s="3828"/>
      <c r="KH10" s="3828"/>
      <c r="KI10" s="3828"/>
      <c r="KJ10" s="3828"/>
      <c r="KK10" s="3828"/>
      <c r="KL10" s="3828"/>
      <c r="KM10" s="3828"/>
      <c r="KN10" s="3828"/>
      <c r="KO10" s="3828"/>
      <c r="KP10" s="3828"/>
      <c r="KQ10" s="3828"/>
      <c r="KR10" s="3828"/>
      <c r="KS10" s="3828"/>
      <c r="KT10" s="3828"/>
      <c r="KU10" s="3828"/>
      <c r="KV10" s="3828"/>
      <c r="KW10" s="3828"/>
      <c r="KX10" s="3828"/>
      <c r="KY10" s="3828"/>
      <c r="KZ10" s="3828"/>
      <c r="LA10" s="3828"/>
      <c r="LB10" s="3828"/>
      <c r="LC10" s="3828"/>
      <c r="LD10" s="3828"/>
      <c r="LE10" s="3828"/>
      <c r="LF10" s="3828"/>
      <c r="LG10" s="3828"/>
      <c r="LH10" s="3828"/>
      <c r="LI10" s="3828"/>
      <c r="LJ10" s="3828"/>
      <c r="LK10" s="3828"/>
      <c r="LL10" s="3828"/>
      <c r="LM10" s="3828"/>
      <c r="LN10" s="3828"/>
      <c r="LO10" s="3828"/>
      <c r="LP10" s="3828"/>
      <c r="LQ10" s="3828"/>
      <c r="LR10" s="3828"/>
      <c r="LS10" s="3828"/>
      <c r="LT10" s="3828"/>
      <c r="LU10" s="3828"/>
      <c r="LV10" s="3828"/>
      <c r="LW10" s="3828"/>
      <c r="LX10" s="3828"/>
      <c r="LY10" s="3828"/>
      <c r="LZ10" s="3828"/>
      <c r="MA10" s="3828"/>
      <c r="MB10" s="3828"/>
      <c r="MC10" s="3828"/>
      <c r="MD10" s="3828"/>
      <c r="ME10" s="3828"/>
      <c r="MF10" s="3828"/>
      <c r="MG10" s="3828"/>
      <c r="MH10" s="3828"/>
      <c r="MI10" s="3828"/>
      <c r="MJ10" s="3828"/>
      <c r="MK10" s="3864"/>
      <c r="ML10" s="3864"/>
      <c r="MM10" s="3864"/>
      <c r="MN10" s="3864"/>
      <c r="MO10" s="3864"/>
      <c r="MP10" s="3828"/>
      <c r="MQ10" s="3828"/>
      <c r="MR10" s="3828"/>
      <c r="MS10" s="3828"/>
      <c r="MT10" s="382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4"/>
      <c r="U11" s="3925"/>
      <c r="V11" s="3925"/>
      <c r="W11" s="392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6717</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1"/>
      <c r="U12" s="3832"/>
      <c r="V12" s="3832"/>
      <c r="W12" s="383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6718</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1"/>
      <c r="U13" s="3832"/>
      <c r="V13" s="3832"/>
      <c r="W13" s="383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6719</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1"/>
      <c r="U14" s="3832"/>
      <c r="V14" s="3832"/>
      <c r="W14" s="383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6720</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1"/>
      <c r="U15" s="3832"/>
      <c r="V15" s="3832"/>
      <c r="W15" s="383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6721</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1"/>
      <c r="U16" s="3832"/>
      <c r="V16" s="3832"/>
      <c r="W16" s="383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6722</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1"/>
      <c r="U17" s="3832"/>
      <c r="V17" s="3832"/>
      <c r="W17" s="383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6723</v>
      </c>
    </row>
    <row r="18" spans="1:380" ht="13.9" customHeight="1">
      <c r="A18" s="108" t="str">
        <f t="shared" si="327"/>
        <v/>
      </c>
      <c r="B18" s="2887">
        <v>50</v>
      </c>
      <c r="C18" s="2888">
        <v>1</v>
      </c>
      <c r="D18" s="2889">
        <v>1</v>
      </c>
      <c r="E18" s="2890">
        <v>3</v>
      </c>
      <c r="F18" s="2890">
        <v>690</v>
      </c>
      <c r="G18" s="2890">
        <v>550</v>
      </c>
      <c r="H18" s="2890">
        <v>544</v>
      </c>
      <c r="I18" s="2890">
        <v>0</v>
      </c>
      <c r="J18" s="2891">
        <f>IF(C18="",0,HLOOKUP(C18,'Part V-Utility Allowances'!$I$11:$M$22,12))</f>
        <v>104</v>
      </c>
      <c r="K18" s="2892"/>
      <c r="L18" s="1188">
        <f t="shared" si="0"/>
        <v>440</v>
      </c>
      <c r="M18" s="1188">
        <f t="shared" si="1"/>
        <v>1320</v>
      </c>
      <c r="N18" s="2893" t="s">
        <v>2772</v>
      </c>
      <c r="O18" s="2894" t="s">
        <v>6965</v>
      </c>
      <c r="P18" s="2893" t="s">
        <v>2192</v>
      </c>
      <c r="Q18" s="2895" t="s">
        <v>2772</v>
      </c>
      <c r="R18" s="2876"/>
      <c r="S18" s="2877"/>
      <c r="T18" s="3831"/>
      <c r="U18" s="3832"/>
      <c r="V18" s="3832"/>
      <c r="W18" s="383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2070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f t="shared" si="283"/>
        <v>3</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6724</v>
      </c>
    </row>
    <row r="19" spans="1:380" ht="13.9" customHeight="1">
      <c r="A19" s="108" t="str">
        <f t="shared" si="327"/>
        <v/>
      </c>
      <c r="B19" s="2896">
        <v>60</v>
      </c>
      <c r="C19" s="2869">
        <v>1</v>
      </c>
      <c r="D19" s="2870">
        <v>1</v>
      </c>
      <c r="E19" s="2871">
        <v>6</v>
      </c>
      <c r="F19" s="2871">
        <v>690</v>
      </c>
      <c r="G19" s="2871">
        <v>660</v>
      </c>
      <c r="H19" s="2871">
        <v>649</v>
      </c>
      <c r="I19" s="2871">
        <v>0</v>
      </c>
      <c r="J19" s="2897">
        <f>IF(C19="",0,HLOOKUP(C19,'Part V-Utility Allowances'!$I$11:$M$22,12))</f>
        <v>104</v>
      </c>
      <c r="K19" s="2873"/>
      <c r="L19" s="537">
        <f t="shared" si="0"/>
        <v>545</v>
      </c>
      <c r="M19" s="537">
        <f t="shared" si="1"/>
        <v>3270</v>
      </c>
      <c r="N19" s="2712" t="s">
        <v>2772</v>
      </c>
      <c r="O19" s="2874" t="s">
        <v>6965</v>
      </c>
      <c r="P19" s="2712" t="s">
        <v>2192</v>
      </c>
      <c r="Q19" s="2875" t="s">
        <v>2772</v>
      </c>
      <c r="R19" s="2876"/>
      <c r="S19" s="2877"/>
      <c r="T19" s="3831"/>
      <c r="U19" s="3832"/>
      <c r="V19" s="3832"/>
      <c r="W19" s="383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6</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4140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6</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6</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f t="shared" si="283"/>
        <v>6</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6</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6725</v>
      </c>
    </row>
    <row r="20" spans="1:380" ht="13.9" customHeight="1">
      <c r="A20" s="108" t="str">
        <f t="shared" si="327"/>
        <v/>
      </c>
      <c r="B20" s="2896">
        <v>70</v>
      </c>
      <c r="C20" s="2869">
        <v>1</v>
      </c>
      <c r="D20" s="2870">
        <v>1</v>
      </c>
      <c r="E20" s="2871">
        <v>1</v>
      </c>
      <c r="F20" s="2871">
        <v>690</v>
      </c>
      <c r="G20" s="2871">
        <v>770</v>
      </c>
      <c r="H20" s="2871">
        <v>679</v>
      </c>
      <c r="I20" s="2871">
        <v>0</v>
      </c>
      <c r="J20" s="2897">
        <f>IF(C20="",0,HLOOKUP(C20,'Part V-Utility Allowances'!$I$11:$M$22,12))</f>
        <v>104</v>
      </c>
      <c r="K20" s="2873"/>
      <c r="L20" s="537">
        <f t="shared" si="0"/>
        <v>575</v>
      </c>
      <c r="M20" s="537">
        <f t="shared" si="1"/>
        <v>575</v>
      </c>
      <c r="N20" s="2712" t="s">
        <v>2772</v>
      </c>
      <c r="O20" s="2874" t="s">
        <v>6965</v>
      </c>
      <c r="P20" s="2712" t="s">
        <v>2192</v>
      </c>
      <c r="Q20" s="2875" t="s">
        <v>2772</v>
      </c>
      <c r="R20" s="2876"/>
      <c r="S20" s="2877"/>
      <c r="T20" s="3831"/>
      <c r="U20" s="3832"/>
      <c r="V20" s="3832"/>
      <c r="W20" s="3833"/>
      <c r="X20" s="430" t="str">
        <f t="shared" si="2"/>
        <v/>
      </c>
      <c r="Y20" s="430" t="str">
        <f t="shared" si="3"/>
        <v/>
      </c>
      <c r="Z20" s="430" t="str">
        <f t="shared" si="4"/>
        <v/>
      </c>
      <c r="AA20" s="430" t="str">
        <f t="shared" si="5"/>
        <v/>
      </c>
      <c r="AB20" s="430" t="str">
        <f t="shared" si="6"/>
        <v/>
      </c>
      <c r="AC20" s="430" t="str">
        <f t="shared" si="7"/>
        <v/>
      </c>
      <c r="AD20" s="430">
        <f t="shared" si="8"/>
        <v>1</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690</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1</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1</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f t="shared" si="283"/>
        <v>1</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1</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6726</v>
      </c>
    </row>
    <row r="21" spans="1:380" ht="13.9" customHeight="1">
      <c r="A21" s="108" t="str">
        <f t="shared" si="327"/>
        <v/>
      </c>
      <c r="B21" s="2896">
        <v>50</v>
      </c>
      <c r="C21" s="2869">
        <v>2</v>
      </c>
      <c r="D21" s="2870">
        <v>1</v>
      </c>
      <c r="E21" s="2871">
        <v>12</v>
      </c>
      <c r="F21" s="2871">
        <v>891</v>
      </c>
      <c r="G21" s="2871">
        <v>661</v>
      </c>
      <c r="H21" s="2871">
        <v>654</v>
      </c>
      <c r="I21" s="2871">
        <v>0</v>
      </c>
      <c r="J21" s="2897">
        <f>IF(C21="",0,HLOOKUP(C21,'Part V-Utility Allowances'!$I$11:$M$22,12))</f>
        <v>129</v>
      </c>
      <c r="K21" s="2873"/>
      <c r="L21" s="537">
        <f t="shared" si="0"/>
        <v>525</v>
      </c>
      <c r="M21" s="537">
        <f t="shared" si="1"/>
        <v>6300</v>
      </c>
      <c r="N21" s="2712" t="s">
        <v>2772</v>
      </c>
      <c r="O21" s="2874" t="s">
        <v>6965</v>
      </c>
      <c r="P21" s="2712" t="s">
        <v>2192</v>
      </c>
      <c r="Q21" s="2875" t="s">
        <v>2772</v>
      </c>
      <c r="R21" s="2876"/>
      <c r="S21" s="2877"/>
      <c r="T21" s="3831"/>
      <c r="U21" s="3832"/>
      <c r="V21" s="3832"/>
      <c r="W21" s="383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12</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10692</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12</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12</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f t="shared" si="284"/>
        <v>12</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12</v>
      </c>
      <c r="MN21" s="1815">
        <f t="shared" si="336"/>
        <v>0</v>
      </c>
      <c r="MO21" s="1815">
        <f t="shared" si="337"/>
        <v>0</v>
      </c>
      <c r="MP21" s="1815">
        <f t="shared" si="322"/>
        <v>0</v>
      </c>
      <c r="MQ21" s="1815">
        <f t="shared" si="323"/>
        <v>0</v>
      </c>
      <c r="MR21" s="1815">
        <f t="shared" si="324"/>
        <v>0</v>
      </c>
      <c r="MS21" s="1815">
        <f t="shared" si="325"/>
        <v>0</v>
      </c>
      <c r="MT21" s="1815">
        <f t="shared" si="326"/>
        <v>0</v>
      </c>
      <c r="NP21" s="2807" t="s">
        <v>6727</v>
      </c>
    </row>
    <row r="22" spans="1:380" ht="13.9" customHeight="1">
      <c r="A22" s="108" t="str">
        <f t="shared" si="327"/>
        <v/>
      </c>
      <c r="B22" s="2896">
        <v>60</v>
      </c>
      <c r="C22" s="2869">
        <v>2</v>
      </c>
      <c r="D22" s="2870">
        <v>1</v>
      </c>
      <c r="E22" s="2871">
        <v>24</v>
      </c>
      <c r="F22" s="2871">
        <v>891</v>
      </c>
      <c r="G22" s="2871">
        <v>793</v>
      </c>
      <c r="H22" s="2871">
        <v>754</v>
      </c>
      <c r="I22" s="2871">
        <v>0</v>
      </c>
      <c r="J22" s="2897">
        <f>IF(C22="",0,HLOOKUP(C22,'Part V-Utility Allowances'!$I$11:$M$22,12))</f>
        <v>129</v>
      </c>
      <c r="K22" s="2873"/>
      <c r="L22" s="537">
        <f t="shared" si="0"/>
        <v>625</v>
      </c>
      <c r="M22" s="537">
        <f t="shared" si="1"/>
        <v>15000</v>
      </c>
      <c r="N22" s="2712" t="s">
        <v>2772</v>
      </c>
      <c r="O22" s="2874" t="s">
        <v>6965</v>
      </c>
      <c r="P22" s="2712" t="s">
        <v>2192</v>
      </c>
      <c r="Q22" s="2875" t="s">
        <v>2772</v>
      </c>
      <c r="R22" s="2876"/>
      <c r="S22" s="2877"/>
      <c r="T22" s="3831"/>
      <c r="U22" s="3832"/>
      <c r="V22" s="3832"/>
      <c r="W22" s="383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24</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21384</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24</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24</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f t="shared" si="284"/>
        <v>24</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24</v>
      </c>
      <c r="MN22" s="1815">
        <f t="shared" si="336"/>
        <v>0</v>
      </c>
      <c r="MO22" s="1815">
        <f t="shared" si="337"/>
        <v>0</v>
      </c>
      <c r="MP22" s="1815">
        <f t="shared" si="322"/>
        <v>0</v>
      </c>
      <c r="MQ22" s="1815">
        <f t="shared" si="323"/>
        <v>0</v>
      </c>
      <c r="MR22" s="1815">
        <f t="shared" si="324"/>
        <v>0</v>
      </c>
      <c r="MS22" s="1815">
        <f t="shared" si="325"/>
        <v>0</v>
      </c>
      <c r="MT22" s="1815">
        <f t="shared" si="326"/>
        <v>0</v>
      </c>
      <c r="NP22" s="2807" t="s">
        <v>6728</v>
      </c>
    </row>
    <row r="23" spans="1:380" ht="13.9" customHeight="1">
      <c r="A23" s="108" t="str">
        <f t="shared" si="327"/>
        <v/>
      </c>
      <c r="B23" s="2896">
        <v>70</v>
      </c>
      <c r="C23" s="2869">
        <v>2</v>
      </c>
      <c r="D23" s="2870">
        <v>1</v>
      </c>
      <c r="E23" s="2871">
        <v>4</v>
      </c>
      <c r="F23" s="2871">
        <v>891</v>
      </c>
      <c r="G23" s="2871">
        <v>925</v>
      </c>
      <c r="H23" s="2871">
        <v>779</v>
      </c>
      <c r="I23" s="2871">
        <v>0</v>
      </c>
      <c r="J23" s="2897">
        <f>IF(C23="",0,HLOOKUP(C23,'Part V-Utility Allowances'!$I$11:$M$22,12))</f>
        <v>129</v>
      </c>
      <c r="K23" s="2873"/>
      <c r="L23" s="537">
        <f t="shared" si="0"/>
        <v>650</v>
      </c>
      <c r="M23" s="537">
        <f t="shared" si="1"/>
        <v>2600</v>
      </c>
      <c r="N23" s="2712" t="s">
        <v>2772</v>
      </c>
      <c r="O23" s="2874" t="s">
        <v>6965</v>
      </c>
      <c r="P23" s="2712" t="s">
        <v>2192</v>
      </c>
      <c r="Q23" s="2875" t="s">
        <v>2772</v>
      </c>
      <c r="R23" s="2876"/>
      <c r="S23" s="2877"/>
      <c r="T23" s="3831"/>
      <c r="U23" s="3832"/>
      <c r="V23" s="3832"/>
      <c r="W23" s="3833"/>
      <c r="X23" s="430" t="str">
        <f t="shared" si="2"/>
        <v/>
      </c>
      <c r="Y23" s="430" t="str">
        <f t="shared" si="3"/>
        <v/>
      </c>
      <c r="Z23" s="430" t="str">
        <f t="shared" si="4"/>
        <v/>
      </c>
      <c r="AA23" s="430" t="str">
        <f t="shared" si="5"/>
        <v/>
      </c>
      <c r="AB23" s="430" t="str">
        <f t="shared" si="6"/>
        <v/>
      </c>
      <c r="AC23" s="430" t="str">
        <f t="shared" si="7"/>
        <v/>
      </c>
      <c r="AD23" s="430" t="str">
        <f t="shared" si="8"/>
        <v/>
      </c>
      <c r="AE23" s="430">
        <f t="shared" si="9"/>
        <v>4</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3564</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4</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4</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f t="shared" si="284"/>
        <v>4</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4</v>
      </c>
      <c r="MN23" s="1815">
        <f t="shared" si="336"/>
        <v>0</v>
      </c>
      <c r="MO23" s="1815">
        <f t="shared" si="337"/>
        <v>0</v>
      </c>
      <c r="MP23" s="1815">
        <f t="shared" si="322"/>
        <v>0</v>
      </c>
      <c r="MQ23" s="1815">
        <f t="shared" si="323"/>
        <v>0</v>
      </c>
      <c r="MR23" s="1815">
        <f t="shared" si="324"/>
        <v>0</v>
      </c>
      <c r="MS23" s="1815">
        <f t="shared" si="325"/>
        <v>0</v>
      </c>
      <c r="MT23" s="1815">
        <f t="shared" si="326"/>
        <v>0</v>
      </c>
      <c r="NP23" s="2807" t="s">
        <v>6729</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1"/>
      <c r="U24" s="3832"/>
      <c r="V24" s="3832"/>
      <c r="W24" s="383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6730</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1"/>
      <c r="U25" s="3832"/>
      <c r="V25" s="3832"/>
      <c r="W25" s="3833"/>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6731</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1"/>
      <c r="U26" s="3832"/>
      <c r="V26" s="3832"/>
      <c r="W26" s="3833"/>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6732</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1"/>
      <c r="U27" s="3832"/>
      <c r="V27" s="3832"/>
      <c r="W27" s="3833"/>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6733</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1"/>
      <c r="U28" s="3832"/>
      <c r="V28" s="3832"/>
      <c r="W28" s="3833"/>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6734</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1"/>
      <c r="U29" s="3832"/>
      <c r="V29" s="3832"/>
      <c r="W29" s="383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6735</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1"/>
      <c r="U30" s="3832"/>
      <c r="V30" s="3832"/>
      <c r="W30" s="383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6736</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1"/>
      <c r="U31" s="3832"/>
      <c r="V31" s="3832"/>
      <c r="W31" s="383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6737</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1"/>
      <c r="U32" s="3832"/>
      <c r="V32" s="3832"/>
      <c r="W32" s="383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6738</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1"/>
      <c r="U33" s="3832"/>
      <c r="V33" s="3832"/>
      <c r="W33" s="383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6739</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1"/>
      <c r="U34" s="3832"/>
      <c r="V34" s="3832"/>
      <c r="W34" s="383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6740</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1"/>
      <c r="U35" s="3832"/>
      <c r="V35" s="3832"/>
      <c r="W35" s="383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6741</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1"/>
      <c r="U36" s="3832"/>
      <c r="V36" s="3832"/>
      <c r="W36" s="383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6742</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1"/>
      <c r="U37" s="3832"/>
      <c r="V37" s="3832"/>
      <c r="W37" s="383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6743</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1"/>
      <c r="U38" s="3832"/>
      <c r="V38" s="3832"/>
      <c r="W38" s="383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6744</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1"/>
      <c r="U39" s="3832"/>
      <c r="V39" s="3832"/>
      <c r="W39" s="383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6745</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1"/>
      <c r="U40" s="3832"/>
      <c r="V40" s="3832"/>
      <c r="W40" s="383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6746</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1"/>
      <c r="U41" s="3832"/>
      <c r="V41" s="3832"/>
      <c r="W41" s="383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6747</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1"/>
      <c r="U42" s="3832"/>
      <c r="V42" s="3832"/>
      <c r="W42" s="383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6748</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1"/>
      <c r="U43" s="3832"/>
      <c r="V43" s="3832"/>
      <c r="W43" s="383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6749</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1"/>
      <c r="U44" s="3832"/>
      <c r="V44" s="3832"/>
      <c r="W44" s="383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6750</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1"/>
      <c r="U45" s="3832"/>
      <c r="V45" s="3832"/>
      <c r="W45" s="383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6751</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1"/>
      <c r="U46" s="3832"/>
      <c r="V46" s="3832"/>
      <c r="W46" s="383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6752</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1"/>
      <c r="U47" s="3832"/>
      <c r="V47" s="3832"/>
      <c r="W47" s="383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6753</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3"/>
      <c r="U48" s="3844"/>
      <c r="V48" s="3844"/>
      <c r="W48" s="3845"/>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6754</v>
      </c>
    </row>
    <row r="49" spans="1:380" s="146" customFormat="1" ht="13.9" customHeight="1">
      <c r="A49" s="1500">
        <f>COUNT(A11,A12,A13,A14,A15,A16,A17,A18,A19,A20,A21,A22,A23,A24,A25,A26,A27,A28,A29,A30,A31,A32,A33,A34,A35,A36,A37,A38,A39,A40)</f>
        <v>0</v>
      </c>
      <c r="B49" s="3866" t="s">
        <v>3922</v>
      </c>
      <c r="C49" s="3867"/>
      <c r="D49" s="137" t="s">
        <v>979</v>
      </c>
      <c r="E49" s="1194">
        <f>SUM(E11:E48)</f>
        <v>50</v>
      </c>
      <c r="F49" s="1192">
        <f>(E11*F11+E12*F12+E13*F13+E14*F14+E15*F15+E16*F16+E17*F17+E18*F18+E19*F19+E20*F20+E21*F21+E22*F22+E23*F23+E24*F24+E25*F25+E26*F26+E27*F27+E28*F28+E29*F29+E30*F30+E31*F31+E32*F32+E33*F33+E34*F34+E35*F35+E36*F36+E37*F37+E38*F38+E39*F39+E40*F40+E41*F41+E42*F42+E43*F43+E44*F44+E45*F45+E46*F46+E47*F47+E48*F48)</f>
        <v>42540</v>
      </c>
      <c r="H49" s="3922" t="s">
        <v>3919</v>
      </c>
      <c r="I49" s="2907" t="s">
        <v>3920</v>
      </c>
      <c r="J49" s="1195" t="str">
        <f>IF(P67=0,"",IF(SUM(P58:P62)/P67&gt;=0.4,"Pass","Fail"))</f>
        <v>Pass</v>
      </c>
      <c r="K49" s="521"/>
      <c r="L49" s="794" t="s">
        <v>1254</v>
      </c>
      <c r="M49" s="122">
        <f>SUM(M11:M48)</f>
        <v>29065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1</v>
      </c>
      <c r="AE49" s="1816">
        <f t="shared" si="339"/>
        <v>4</v>
      </c>
      <c r="AF49" s="1816">
        <f t="shared" si="339"/>
        <v>0</v>
      </c>
      <c r="AG49" s="1816">
        <f t="shared" si="339"/>
        <v>0</v>
      </c>
      <c r="AH49" s="1816">
        <f t="shared" si="339"/>
        <v>0</v>
      </c>
      <c r="AI49" s="1816">
        <f t="shared" si="339"/>
        <v>6</v>
      </c>
      <c r="AJ49" s="1816">
        <f t="shared" si="339"/>
        <v>24</v>
      </c>
      <c r="AK49" s="1816">
        <f t="shared" si="339"/>
        <v>0</v>
      </c>
      <c r="AL49" s="1816">
        <f t="shared" si="339"/>
        <v>0</v>
      </c>
      <c r="AM49" s="1816">
        <f>SUM(AM11:AM48)</f>
        <v>0</v>
      </c>
      <c r="AN49" s="1816">
        <f>SUM(AN11:AN48)</f>
        <v>3</v>
      </c>
      <c r="AO49" s="1816">
        <f>SUM(AO11:AO48)</f>
        <v>12</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690</v>
      </c>
      <c r="EP49" s="1816">
        <f t="shared" si="342"/>
        <v>3564</v>
      </c>
      <c r="EQ49" s="1816">
        <f t="shared" si="342"/>
        <v>0</v>
      </c>
      <c r="ER49" s="1816">
        <f t="shared" si="342"/>
        <v>0</v>
      </c>
      <c r="ES49" s="1816">
        <f t="shared" si="342"/>
        <v>0</v>
      </c>
      <c r="ET49" s="1816">
        <f t="shared" si="342"/>
        <v>4140</v>
      </c>
      <c r="EU49" s="1816">
        <f t="shared" si="342"/>
        <v>21384</v>
      </c>
      <c r="EV49" s="1816">
        <f t="shared" si="342"/>
        <v>0</v>
      </c>
      <c r="EW49" s="1816">
        <f t="shared" si="342"/>
        <v>0</v>
      </c>
      <c r="EX49" s="1816">
        <f t="shared" si="338"/>
        <v>0</v>
      </c>
      <c r="EY49" s="1816">
        <f t="shared" si="338"/>
        <v>2070</v>
      </c>
      <c r="EZ49" s="1816">
        <f t="shared" si="338"/>
        <v>10692</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10</v>
      </c>
      <c r="GI49" s="1816">
        <f t="shared" si="343"/>
        <v>40</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10</v>
      </c>
      <c r="IB49" s="1816">
        <f t="shared" si="344"/>
        <v>40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10</v>
      </c>
      <c r="KT49" s="1816">
        <f t="shared" si="348"/>
        <v>40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10</v>
      </c>
      <c r="MM49" s="1816">
        <f t="shared" si="350"/>
        <v>40</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6755</v>
      </c>
    </row>
    <row r="50" spans="1:380" s="146" customFormat="1" ht="13.9" customHeight="1">
      <c r="B50" s="3868">
        <f>IF(SUM(E18:E48)=0,"",(B18*E18+B19*E19+B20*E20+B21*E21+B22*E22+B23*E23+B24*E24+B25*E25+B26*E26+B27*E27+B28*E28+B29*E29+B30*E30+B31*E31+B32*E32+B33*E33+B34*E34+B35*E35+B36*E36+B37*E37+B38*E38+B39*E39+B40*E40+B41*E41+B42*E42+B43*E43+B44*E44+B45*E45+B46*E46+B47*E47+B48*E48)/SUM(E18:E48))</f>
        <v>58</v>
      </c>
      <c r="C50" s="3869"/>
      <c r="D50" s="2650" t="s">
        <v>3829</v>
      </c>
      <c r="E50" s="1191">
        <f>SUM(E18:E48)</f>
        <v>50</v>
      </c>
      <c r="F50" s="1193">
        <f>(E18*F18+E19*F19+E20*F20+E21*F21+E22*F22+E23*F23+E24*F24+E25*F25+E26*F26+E27*F27+E28*F28+E29*F29+E30*F30+E31*F31+E32*F32+E33*F33+E34*F34+E35*F35+E36*F36+E37*F37+E38*F38+E39*F39+E40*F40+E41*F41+E42*F42+E43*F43+E44*F44+E45*F45+E46*F46+E47*F47+E48*F48)</f>
        <v>42540</v>
      </c>
      <c r="H50" s="3923"/>
      <c r="I50" s="2908" t="s">
        <v>3921</v>
      </c>
      <c r="J50" s="1196" t="str">
        <f>IF(P67=0,"",IF(SUM(P59:P62)/P67&gt;=0.2,"Pass","Fail"))</f>
        <v>Pass</v>
      </c>
      <c r="K50" s="521"/>
      <c r="L50" s="137" t="s">
        <v>781</v>
      </c>
      <c r="M50" s="122">
        <f>M49*12</f>
        <v>348780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6756</v>
      </c>
    </row>
    <row r="51" spans="1:380" ht="12" customHeight="1">
      <c r="A51" s="3848" t="s">
        <v>2496</v>
      </c>
      <c r="B51" s="3849"/>
      <c r="C51" s="3849"/>
      <c r="D51" s="3849"/>
      <c r="E51" s="3849"/>
      <c r="F51" s="3849"/>
      <c r="G51" s="3849"/>
      <c r="H51" s="3849"/>
      <c r="I51" s="3849"/>
      <c r="J51" s="3849"/>
      <c r="K51" s="3849"/>
      <c r="L51" s="3849"/>
      <c r="M51" s="3849"/>
      <c r="N51" s="3849"/>
      <c r="O51" s="3849"/>
      <c r="P51" s="3849"/>
      <c r="Q51" s="3849"/>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9"/>
      <c r="B52" s="3849"/>
      <c r="C52" s="3849"/>
      <c r="D52" s="3849"/>
      <c r="E52" s="3849"/>
      <c r="F52" s="3849"/>
      <c r="G52" s="3849"/>
      <c r="H52" s="3849"/>
      <c r="I52" s="3849"/>
      <c r="J52" s="3849"/>
      <c r="K52" s="3849"/>
      <c r="L52" s="3849"/>
      <c r="M52" s="3849"/>
      <c r="N52" s="3849"/>
      <c r="O52" s="3849"/>
      <c r="P52" s="3849"/>
      <c r="Q52" s="3849"/>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7" t="str">
        <f>'Part I-Project Information'!$K$94</f>
        <v>Income Averaging</v>
      </c>
      <c r="M53" s="3838"/>
      <c r="N53" s="3838"/>
      <c r="O53" s="3839"/>
      <c r="P53" s="82"/>
      <c r="S53" s="3876" t="str">
        <f>B53</f>
        <v>UNIT SUMMARY</v>
      </c>
      <c r="T53" s="3876"/>
      <c r="U53" s="3876"/>
      <c r="V53" s="387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8" t="s">
        <v>4282</v>
      </c>
      <c r="B56" s="3918"/>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46" t="s">
        <v>3309</v>
      </c>
      <c r="R56" s="2657"/>
      <c r="S56" s="3840"/>
      <c r="T56" s="3841"/>
      <c r="U56" s="3841"/>
      <c r="V56" s="3841"/>
      <c r="W56" s="3842"/>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8"/>
      <c r="B57" s="3918"/>
      <c r="C57" s="93"/>
      <c r="D57" s="1"/>
      <c r="E57" s="1"/>
      <c r="F57" s="1"/>
      <c r="G57" s="82"/>
      <c r="H57" s="109" t="s">
        <v>3831</v>
      </c>
      <c r="I57" s="36"/>
      <c r="J57" s="82"/>
      <c r="K57" s="1203">
        <f>AC49</f>
        <v>0</v>
      </c>
      <c r="L57" s="1204">
        <f>AD49</f>
        <v>1</v>
      </c>
      <c r="M57" s="1204">
        <f>AE49</f>
        <v>4</v>
      </c>
      <c r="N57" s="1204">
        <f>AF49</f>
        <v>0</v>
      </c>
      <c r="O57" s="1205">
        <f>AG49</f>
        <v>0</v>
      </c>
      <c r="P57" s="833">
        <f t="shared" si="351"/>
        <v>5</v>
      </c>
      <c r="Q57" s="3846"/>
      <c r="R57" s="2657"/>
      <c r="S57" s="3831"/>
      <c r="T57" s="3832"/>
      <c r="U57" s="3832"/>
      <c r="V57" s="3832"/>
      <c r="W57" s="3833"/>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8"/>
      <c r="B58" s="3918"/>
      <c r="C58" s="93"/>
      <c r="D58" s="1"/>
      <c r="E58" s="1"/>
      <c r="F58" s="1"/>
      <c r="G58" s="82"/>
      <c r="H58" s="109" t="s">
        <v>1107</v>
      </c>
      <c r="I58" s="36"/>
      <c r="J58" s="82"/>
      <c r="K58" s="1203">
        <f>AH49</f>
        <v>0</v>
      </c>
      <c r="L58" s="1204">
        <f>AI49</f>
        <v>6</v>
      </c>
      <c r="M58" s="1204">
        <f>AJ49</f>
        <v>24</v>
      </c>
      <c r="N58" s="1204">
        <f>AK49</f>
        <v>0</v>
      </c>
      <c r="O58" s="1205">
        <f>AL49</f>
        <v>0</v>
      </c>
      <c r="P58" s="833">
        <f t="shared" si="351"/>
        <v>30</v>
      </c>
      <c r="Q58" s="3846"/>
      <c r="R58" s="2657"/>
      <c r="S58" s="3831"/>
      <c r="T58" s="3832"/>
      <c r="U58" s="3832"/>
      <c r="V58" s="3832"/>
      <c r="W58" s="3833"/>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8"/>
      <c r="B59" s="3918"/>
      <c r="C59" s="93"/>
      <c r="D59" s="1"/>
      <c r="E59" s="1"/>
      <c r="F59" s="1"/>
      <c r="G59" s="82"/>
      <c r="H59" s="102" t="s">
        <v>111</v>
      </c>
      <c r="I59" s="52"/>
      <c r="J59" s="982"/>
      <c r="K59" s="1224">
        <f>AM49</f>
        <v>0</v>
      </c>
      <c r="L59" s="1225">
        <f>AN49</f>
        <v>3</v>
      </c>
      <c r="M59" s="1225">
        <f>AO49</f>
        <v>12</v>
      </c>
      <c r="N59" s="1225">
        <f>AP49</f>
        <v>0</v>
      </c>
      <c r="O59" s="1226">
        <f>AQ49</f>
        <v>0</v>
      </c>
      <c r="P59" s="542">
        <f t="shared" si="351"/>
        <v>15</v>
      </c>
      <c r="Q59" s="3846"/>
      <c r="R59" s="2657"/>
      <c r="S59" s="3831"/>
      <c r="T59" s="3832"/>
      <c r="U59" s="3832"/>
      <c r="V59" s="3832"/>
      <c r="W59" s="3833"/>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8"/>
      <c r="B60" s="3918"/>
      <c r="C60" s="93"/>
      <c r="D60" s="1"/>
      <c r="E60" s="1"/>
      <c r="F60" s="1"/>
      <c r="G60" s="82"/>
      <c r="H60" s="102" t="s">
        <v>3832</v>
      </c>
      <c r="I60" s="52"/>
      <c r="J60" s="982"/>
      <c r="K60" s="1203">
        <f>AR49</f>
        <v>0</v>
      </c>
      <c r="L60" s="1204">
        <f>AS49</f>
        <v>0</v>
      </c>
      <c r="M60" s="1204">
        <f>AT49</f>
        <v>0</v>
      </c>
      <c r="N60" s="1204">
        <f>AU49</f>
        <v>0</v>
      </c>
      <c r="O60" s="1205">
        <f>AV49</f>
        <v>0</v>
      </c>
      <c r="P60" s="833">
        <f t="shared" si="351"/>
        <v>0</v>
      </c>
      <c r="Q60" s="3846"/>
      <c r="R60" s="2657"/>
      <c r="S60" s="3831"/>
      <c r="T60" s="3832"/>
      <c r="U60" s="3832"/>
      <c r="V60" s="3832"/>
      <c r="W60" s="3833"/>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8"/>
      <c r="B61" s="3918"/>
      <c r="C61" s="93"/>
      <c r="D61" s="1"/>
      <c r="E61" s="1"/>
      <c r="F61" s="1"/>
      <c r="G61" s="82"/>
      <c r="H61" s="109" t="s">
        <v>3833</v>
      </c>
      <c r="I61" s="36"/>
      <c r="J61" s="82"/>
      <c r="K61" s="1203">
        <f>AW49</f>
        <v>0</v>
      </c>
      <c r="L61" s="1204">
        <f>AX49</f>
        <v>0</v>
      </c>
      <c r="M61" s="1204">
        <f>AY49</f>
        <v>0</v>
      </c>
      <c r="N61" s="1204">
        <f>AZ49</f>
        <v>0</v>
      </c>
      <c r="O61" s="1205">
        <f>BA49</f>
        <v>0</v>
      </c>
      <c r="P61" s="833">
        <f t="shared" si="351"/>
        <v>0</v>
      </c>
      <c r="Q61" s="3846"/>
      <c r="R61" s="2657"/>
      <c r="S61" s="3831"/>
      <c r="T61" s="3832"/>
      <c r="U61" s="3832"/>
      <c r="V61" s="3832"/>
      <c r="W61" s="3833"/>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8"/>
      <c r="B62" s="3918"/>
      <c r="C62" s="4"/>
      <c r="D62" s="1"/>
      <c r="E62" s="1"/>
      <c r="F62" s="1"/>
      <c r="G62" s="82"/>
      <c r="H62" s="109" t="s">
        <v>3834</v>
      </c>
      <c r="I62" s="36"/>
      <c r="J62" s="82"/>
      <c r="K62" s="1206">
        <f>BB49</f>
        <v>0</v>
      </c>
      <c r="L62" s="1207">
        <f>BC49</f>
        <v>0</v>
      </c>
      <c r="M62" s="1207">
        <f>BD49</f>
        <v>0</v>
      </c>
      <c r="N62" s="1207">
        <f>BE49</f>
        <v>0</v>
      </c>
      <c r="O62" s="1208">
        <f>BF49</f>
        <v>0</v>
      </c>
      <c r="P62" s="542">
        <f t="shared" si="351"/>
        <v>0</v>
      </c>
      <c r="Q62" s="3846"/>
      <c r="R62" s="2657"/>
      <c r="S62" s="3831"/>
      <c r="T62" s="3832"/>
      <c r="U62" s="3832"/>
      <c r="V62" s="3832"/>
      <c r="W62" s="3833"/>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8"/>
      <c r="B63" s="3918"/>
      <c r="C63" s="109" t="s">
        <v>3916</v>
      </c>
      <c r="D63" s="1"/>
      <c r="E63" s="1"/>
      <c r="F63" s="1"/>
      <c r="G63" s="82"/>
      <c r="H63" s="89"/>
      <c r="I63" s="55"/>
      <c r="J63" s="82"/>
      <c r="K63" s="1180">
        <f>SUM(K56:K62)</f>
        <v>0</v>
      </c>
      <c r="L63" s="1180">
        <f>SUM(L56:L62)</f>
        <v>10</v>
      </c>
      <c r="M63" s="1180">
        <f>SUM(M56:M62)</f>
        <v>40</v>
      </c>
      <c r="N63" s="1180">
        <f>SUM(N56:N62)</f>
        <v>0</v>
      </c>
      <c r="O63" s="1180">
        <f>SUM(O56:O62)</f>
        <v>0</v>
      </c>
      <c r="P63" s="1180">
        <f t="shared" si="351"/>
        <v>50</v>
      </c>
      <c r="Q63" s="3847"/>
      <c r="S63" s="3831"/>
      <c r="T63" s="3832"/>
      <c r="U63" s="3832"/>
      <c r="V63" s="3832"/>
      <c r="W63" s="3833"/>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8"/>
      <c r="B64" s="3918"/>
      <c r="D64" s="1"/>
      <c r="E64" s="1"/>
      <c r="F64" s="1"/>
      <c r="G64" s="82"/>
      <c r="H64" s="109" t="s">
        <v>292</v>
      </c>
      <c r="I64" s="36"/>
      <c r="J64" s="82"/>
      <c r="K64" s="834">
        <f>BG49</f>
        <v>0</v>
      </c>
      <c r="L64" s="834">
        <f>BH49</f>
        <v>0</v>
      </c>
      <c r="M64" s="834">
        <f>BI49</f>
        <v>0</v>
      </c>
      <c r="N64" s="834">
        <f>BJ49</f>
        <v>0</v>
      </c>
      <c r="O64" s="834">
        <f>BK49</f>
        <v>0</v>
      </c>
      <c r="P64" s="834">
        <f t="shared" si="351"/>
        <v>0</v>
      </c>
      <c r="S64" s="3831"/>
      <c r="T64" s="3832"/>
      <c r="U64" s="3832"/>
      <c r="V64" s="3832"/>
      <c r="W64" s="3833"/>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8"/>
      <c r="B65" s="3918"/>
      <c r="C65" s="1185" t="s">
        <v>1096</v>
      </c>
      <c r="D65" s="1185"/>
      <c r="E65" s="1185"/>
      <c r="F65" s="1185"/>
      <c r="G65" s="1186"/>
      <c r="H65" s="1502"/>
      <c r="I65" s="49"/>
      <c r="J65" s="1186"/>
      <c r="K65" s="1187">
        <f>SUM(K63:K64)</f>
        <v>0</v>
      </c>
      <c r="L65" s="1187">
        <f>SUM(L63:L64)</f>
        <v>10</v>
      </c>
      <c r="M65" s="1187">
        <f>SUM(M63:M64)</f>
        <v>40</v>
      </c>
      <c r="N65" s="1187">
        <f>SUM(N63:N64)</f>
        <v>0</v>
      </c>
      <c r="O65" s="1187">
        <f>SUM(O63:O64)</f>
        <v>0</v>
      </c>
      <c r="P65" s="1187">
        <f t="shared" si="351"/>
        <v>50</v>
      </c>
      <c r="S65" s="3831"/>
      <c r="T65" s="3832"/>
      <c r="U65" s="3832"/>
      <c r="V65" s="3832"/>
      <c r="W65" s="3833"/>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8"/>
      <c r="B66" s="3918"/>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31"/>
      <c r="T66" s="3832"/>
      <c r="U66" s="3832"/>
      <c r="V66" s="3832"/>
      <c r="W66" s="3833"/>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8"/>
      <c r="B67" s="3918"/>
      <c r="C67" s="4" t="s">
        <v>1712</v>
      </c>
      <c r="D67" s="1"/>
      <c r="E67" s="1"/>
      <c r="F67" s="1"/>
      <c r="G67" s="82"/>
      <c r="H67" s="109"/>
      <c r="I67" s="36"/>
      <c r="J67" s="82"/>
      <c r="K67" s="1179">
        <f>SUM(K65:K66)</f>
        <v>0</v>
      </c>
      <c r="L67" s="1179">
        <f>SUM(L65:L66)</f>
        <v>10</v>
      </c>
      <c r="M67" s="1179">
        <f>SUM(M65:M66)</f>
        <v>40</v>
      </c>
      <c r="N67" s="1179">
        <f>SUM(N65:N66)</f>
        <v>0</v>
      </c>
      <c r="O67" s="1179">
        <f>SUM(O65:O66)</f>
        <v>0</v>
      </c>
      <c r="P67" s="1179">
        <f t="shared" si="351"/>
        <v>50</v>
      </c>
      <c r="S67" s="3843"/>
      <c r="T67" s="3844"/>
      <c r="U67" s="3844"/>
      <c r="V67" s="3844"/>
      <c r="W67" s="3845"/>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8"/>
      <c r="B68" s="3918"/>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8"/>
      <c r="B69" s="3918"/>
      <c r="C69" s="3865" t="s">
        <v>3927</v>
      </c>
      <c r="D69" s="3865"/>
      <c r="E69" s="3865"/>
      <c r="F69" s="386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8"/>
      <c r="B70" s="3918"/>
      <c r="C70" s="3865"/>
      <c r="D70" s="3865"/>
      <c r="E70" s="3865"/>
      <c r="F70" s="3865"/>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4274</v>
      </c>
      <c r="S70" s="3840"/>
      <c r="T70" s="3841"/>
      <c r="U70" s="3841"/>
      <c r="V70" s="3841"/>
      <c r="W70" s="3842"/>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8"/>
      <c r="B71" s="3918"/>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1"/>
      <c r="T71" s="3832"/>
      <c r="U71" s="3832"/>
      <c r="V71" s="3832"/>
      <c r="W71" s="3833"/>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1"/>
      <c r="T72" s="3832"/>
      <c r="U72" s="3832"/>
      <c r="V72" s="3832"/>
      <c r="W72" s="3833"/>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9" t="s">
        <v>4273</v>
      </c>
      <c r="E73" s="3829"/>
      <c r="F73" s="3829"/>
      <c r="G73" s="8"/>
      <c r="H73" s="109" t="s">
        <v>3831</v>
      </c>
      <c r="I73" s="36"/>
      <c r="J73" s="1"/>
      <c r="K73" s="2920" t="str">
        <f t="shared" ref="K73:P73" si="354">IF(OR(K57=0,K67=0),"",K57/K67)</f>
        <v/>
      </c>
      <c r="L73" s="2921">
        <f t="shared" si="354"/>
        <v>0.1</v>
      </c>
      <c r="M73" s="2921">
        <f t="shared" si="354"/>
        <v>0.1</v>
      </c>
      <c r="N73" s="2921" t="str">
        <f t="shared" si="354"/>
        <v/>
      </c>
      <c r="O73" s="2921" t="str">
        <f t="shared" si="354"/>
        <v/>
      </c>
      <c r="P73" s="2922">
        <f t="shared" si="354"/>
        <v>0.1</v>
      </c>
      <c r="S73" s="3831"/>
      <c r="T73" s="3832"/>
      <c r="U73" s="3832"/>
      <c r="V73" s="3832"/>
      <c r="W73" s="3833"/>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9"/>
      <c r="E74" s="3829"/>
      <c r="F74" s="3829"/>
      <c r="G74" s="8"/>
      <c r="H74" s="109" t="s">
        <v>6814</v>
      </c>
      <c r="I74" s="36"/>
      <c r="J74" s="1"/>
      <c r="K74" s="2913" t="str">
        <f>IF(OR(K57=0,P73="",K67=0),"",P73*K67)</f>
        <v/>
      </c>
      <c r="L74" s="2913">
        <f>IF(OR(L57=0,P73="",L67=0),"",P73*L67)</f>
        <v>1</v>
      </c>
      <c r="M74" s="2913">
        <f>IF(OR(M57=0,P73="",M67=0),"",P73*M67)</f>
        <v>4</v>
      </c>
      <c r="N74" s="2913" t="str">
        <f>IF(OR(N57=0,P73="",N67=0),"",P73*N67)</f>
        <v/>
      </c>
      <c r="O74" s="2913" t="str">
        <f>IF(OR(O57=0,P73="",O67=0),"",P73*O67)</f>
        <v/>
      </c>
      <c r="P74" s="2914">
        <f>IF(OR(P73="",P67=0),"",P73*P67)</f>
        <v>5</v>
      </c>
      <c r="S74" s="3831"/>
      <c r="T74" s="3832"/>
      <c r="U74" s="3832"/>
      <c r="V74" s="3832"/>
      <c r="W74" s="3833"/>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9"/>
      <c r="E75" s="3829"/>
      <c r="F75" s="3829"/>
      <c r="G75" s="1579"/>
      <c r="H75" s="2915" t="s">
        <v>6815</v>
      </c>
      <c r="I75" s="2916"/>
      <c r="J75" s="1"/>
      <c r="K75" s="2917" t="str">
        <f t="shared" ref="K75:P75" si="355">IF(OR(K74="",K57=0),"", K57-K74)</f>
        <v/>
      </c>
      <c r="L75" s="2917">
        <f t="shared" si="355"/>
        <v>0</v>
      </c>
      <c r="M75" s="2917">
        <f t="shared" si="355"/>
        <v>0</v>
      </c>
      <c r="N75" s="2917" t="str">
        <f t="shared" si="355"/>
        <v/>
      </c>
      <c r="O75" s="2917" t="str">
        <f t="shared" si="355"/>
        <v/>
      </c>
      <c r="P75" s="2917">
        <f t="shared" si="355"/>
        <v>0</v>
      </c>
      <c r="S75" s="3831"/>
      <c r="T75" s="3832"/>
      <c r="U75" s="3832"/>
      <c r="V75" s="3832"/>
      <c r="W75" s="3833"/>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829"/>
      <c r="E76" s="3829"/>
      <c r="F76" s="3829"/>
      <c r="G76" s="8"/>
      <c r="H76" s="109" t="s">
        <v>1107</v>
      </c>
      <c r="I76" s="36"/>
      <c r="J76" s="1"/>
      <c r="K76" s="2920" t="str">
        <f t="shared" ref="K76:P76" si="356">IF(OR(K58=0,K67=0),"",K58/K67)</f>
        <v/>
      </c>
      <c r="L76" s="2921">
        <f t="shared" si="356"/>
        <v>0.6</v>
      </c>
      <c r="M76" s="2921">
        <f t="shared" si="356"/>
        <v>0.6</v>
      </c>
      <c r="N76" s="2921" t="str">
        <f t="shared" si="356"/>
        <v/>
      </c>
      <c r="O76" s="2921" t="str">
        <f t="shared" si="356"/>
        <v/>
      </c>
      <c r="P76" s="2922">
        <f t="shared" si="356"/>
        <v>0.6</v>
      </c>
      <c r="S76" s="3831"/>
      <c r="T76" s="3832"/>
      <c r="U76" s="3832"/>
      <c r="V76" s="3832"/>
      <c r="W76" s="3833"/>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9"/>
      <c r="E77" s="3829"/>
      <c r="F77" s="3829"/>
      <c r="G77" s="8"/>
      <c r="H77" s="109" t="s">
        <v>6814</v>
      </c>
      <c r="I77" s="36"/>
      <c r="J77" s="1"/>
      <c r="K77" s="2913" t="str">
        <f>IF(OR(K58=0,P76="",K67=0),"",P76*K67)</f>
        <v/>
      </c>
      <c r="L77" s="2913">
        <f>IF(OR(L58=0,P76="",L67=0),"",P76*L67)</f>
        <v>6</v>
      </c>
      <c r="M77" s="2913">
        <f>IF(OR(M58=0,P76="",M67=0),"",P76*M67)</f>
        <v>24</v>
      </c>
      <c r="N77" s="2913" t="str">
        <f>IF(OR(N58=0,P76="",N67=0),"",P76*N67)</f>
        <v/>
      </c>
      <c r="O77" s="2913" t="str">
        <f>IF(OR(O58=0,P76="",O67=0),"",P76*O67)</f>
        <v/>
      </c>
      <c r="P77" s="2914">
        <f>IF(OR(P76="",P67=0),"",P76*P67)</f>
        <v>30</v>
      </c>
      <c r="S77" s="3843"/>
      <c r="T77" s="3844"/>
      <c r="U77" s="3844"/>
      <c r="V77" s="3844"/>
      <c r="W77" s="3845"/>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9"/>
      <c r="E78" s="3829"/>
      <c r="F78" s="3829"/>
      <c r="G78" s="1579"/>
      <c r="H78" s="2915" t="s">
        <v>6815</v>
      </c>
      <c r="I78" s="2916"/>
      <c r="J78" s="1"/>
      <c r="K78" s="2917" t="str">
        <f t="shared" ref="K78:P78" si="357">IF(OR(K77="",K58=0),"", K58-K77)</f>
        <v/>
      </c>
      <c r="L78" s="2917">
        <f t="shared" si="357"/>
        <v>0</v>
      </c>
      <c r="M78" s="2917">
        <f t="shared" si="357"/>
        <v>0</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3"/>
      <c r="E79" s="2923"/>
      <c r="F79" s="8"/>
      <c r="G79" s="8"/>
      <c r="H79" s="109" t="s">
        <v>111</v>
      </c>
      <c r="I79" s="36"/>
      <c r="J79" s="1"/>
      <c r="K79" s="2920" t="str">
        <f t="shared" ref="K79:P79" si="358">IF(OR(K59=0,K67=0),"",K59/K67)</f>
        <v/>
      </c>
      <c r="L79" s="2921">
        <f t="shared" si="358"/>
        <v>0.3</v>
      </c>
      <c r="M79" s="2921">
        <f t="shared" si="358"/>
        <v>0.3</v>
      </c>
      <c r="N79" s="2921" t="str">
        <f t="shared" si="358"/>
        <v/>
      </c>
      <c r="O79" s="2921" t="str">
        <f t="shared" si="358"/>
        <v/>
      </c>
      <c r="P79" s="2922">
        <f t="shared" si="358"/>
        <v>0.3</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f>IF(OR(L59=0,P79="",L67=0),"",P79*L67)</f>
        <v>3</v>
      </c>
      <c r="M80" s="2913">
        <f>IF(OR(M59=0,P79="",M67=0),"",P79*M67)</f>
        <v>12</v>
      </c>
      <c r="N80" s="2913" t="str">
        <f>IF(OR(N59=0,P79="",N67=0),"",P79*N67)</f>
        <v/>
      </c>
      <c r="O80" s="2913" t="str">
        <f>IF(OR(O59=0,P79="",O67=0),"",P79*O67)</f>
        <v/>
      </c>
      <c r="P80" s="2914">
        <f>IF(OR(P79="",P67=0),"",P79*P67)</f>
        <v>15</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f t="shared" si="359"/>
        <v>0</v>
      </c>
      <c r="M81" s="2917">
        <f t="shared" si="359"/>
        <v>0</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40"/>
      <c r="T93" s="3841"/>
      <c r="U93" s="3841"/>
      <c r="V93" s="3841"/>
      <c r="W93" s="3842"/>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1"/>
      <c r="T94" s="3832"/>
      <c r="U94" s="3832"/>
      <c r="V94" s="3832"/>
      <c r="W94" s="3833"/>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1"/>
      <c r="T95" s="3832"/>
      <c r="U95" s="3832"/>
      <c r="V95" s="3832"/>
      <c r="W95" s="3833"/>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1"/>
      <c r="T96" s="3832"/>
      <c r="U96" s="3832"/>
      <c r="V96" s="3832"/>
      <c r="W96" s="3833"/>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1"/>
      <c r="T97" s="3832"/>
      <c r="U97" s="3832"/>
      <c r="V97" s="3832"/>
      <c r="W97" s="3833"/>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1"/>
      <c r="T98" s="3832"/>
      <c r="U98" s="3832"/>
      <c r="V98" s="3832"/>
      <c r="W98" s="3833"/>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1"/>
      <c r="T99" s="3832"/>
      <c r="U99" s="3832"/>
      <c r="V99" s="3832"/>
      <c r="W99" s="3833"/>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3"/>
      <c r="T100" s="3844"/>
      <c r="U100" s="3844"/>
      <c r="V100" s="3844"/>
      <c r="W100" s="3845"/>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37" t="str">
        <f>$L$53</f>
        <v>Income Averaging</v>
      </c>
      <c r="M102" s="3838"/>
      <c r="N102" s="3838"/>
      <c r="O102" s="3839"/>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40"/>
      <c r="T104" s="3841"/>
      <c r="U104" s="3841"/>
      <c r="V104" s="3841"/>
      <c r="W104" s="3842"/>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1"/>
      <c r="T105" s="3832"/>
      <c r="U105" s="3832"/>
      <c r="V105" s="3832"/>
      <c r="W105" s="3833"/>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1"/>
      <c r="T106" s="3832"/>
      <c r="U106" s="3832"/>
      <c r="V106" s="3832"/>
      <c r="W106" s="3833"/>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1"/>
      <c r="T107" s="3832"/>
      <c r="U107" s="3832"/>
      <c r="V107" s="3832"/>
      <c r="W107" s="3833"/>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1"/>
      <c r="T108" s="3832"/>
      <c r="U108" s="3832"/>
      <c r="V108" s="3832"/>
      <c r="W108" s="3833"/>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1"/>
      <c r="T109" s="3832"/>
      <c r="U109" s="3832"/>
      <c r="V109" s="3832"/>
      <c r="W109" s="3833"/>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1"/>
      <c r="T110" s="3832"/>
      <c r="U110" s="3832"/>
      <c r="V110" s="3832"/>
      <c r="W110" s="3833"/>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3"/>
      <c r="T111" s="3844"/>
      <c r="U111" s="3844"/>
      <c r="V111" s="3844"/>
      <c r="W111" s="3845"/>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4" t="s">
        <v>35</v>
      </c>
      <c r="D113" s="3934"/>
      <c r="E113" s="102" t="s">
        <v>2192</v>
      </c>
      <c r="F113" s="1"/>
      <c r="G113" s="82"/>
      <c r="H113" s="109" t="s">
        <v>1377</v>
      </c>
      <c r="I113" s="36"/>
      <c r="J113" s="82"/>
      <c r="K113" s="1200">
        <f>GG49</f>
        <v>0</v>
      </c>
      <c r="L113" s="1201">
        <f>GH49</f>
        <v>10</v>
      </c>
      <c r="M113" s="1201">
        <f>GI49</f>
        <v>40</v>
      </c>
      <c r="N113" s="1201">
        <f>GJ49</f>
        <v>0</v>
      </c>
      <c r="O113" s="1202">
        <f>GK49</f>
        <v>0</v>
      </c>
      <c r="P113" s="837">
        <f t="shared" ref="P113:P123" si="368">SUM(K113:O113)</f>
        <v>50</v>
      </c>
      <c r="S113" s="3840"/>
      <c r="T113" s="3841"/>
      <c r="U113" s="3841"/>
      <c r="V113" s="3841"/>
      <c r="W113" s="3842"/>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4"/>
      <c r="D114" s="3934"/>
      <c r="E114" s="109"/>
      <c r="F114" s="1"/>
      <c r="G114" s="82"/>
      <c r="H114" s="109" t="s">
        <v>292</v>
      </c>
      <c r="I114" s="36"/>
      <c r="J114" s="82"/>
      <c r="K114" s="1206">
        <f>GL49</f>
        <v>0</v>
      </c>
      <c r="L114" s="1207">
        <f>GM49</f>
        <v>0</v>
      </c>
      <c r="M114" s="1207">
        <f>GN49</f>
        <v>0</v>
      </c>
      <c r="N114" s="1207">
        <f>GO49</f>
        <v>0</v>
      </c>
      <c r="O114" s="1208">
        <f>GP49</f>
        <v>0</v>
      </c>
      <c r="P114" s="834">
        <f t="shared" si="368"/>
        <v>0</v>
      </c>
      <c r="S114" s="3831"/>
      <c r="T114" s="3832"/>
      <c r="U114" s="3832"/>
      <c r="V114" s="3832"/>
      <c r="W114" s="3833"/>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4"/>
      <c r="D115" s="3934"/>
      <c r="E115" s="109"/>
      <c r="F115" s="1"/>
      <c r="G115" s="82"/>
      <c r="H115" s="163" t="s">
        <v>29</v>
      </c>
      <c r="I115" s="86"/>
      <c r="J115" s="82"/>
      <c r="K115" s="1181">
        <f>SUM(K113:K114)+GQ49</f>
        <v>0</v>
      </c>
      <c r="L115" s="1181">
        <f>SUM(L113:L114)+GR49</f>
        <v>10</v>
      </c>
      <c r="M115" s="1181">
        <f>SUM(M113:M114)+GS49</f>
        <v>40</v>
      </c>
      <c r="N115" s="1181">
        <f>SUM(N113:N114)+GT49</f>
        <v>0</v>
      </c>
      <c r="O115" s="1181">
        <f>SUM(O113:O114)+GU49</f>
        <v>0</v>
      </c>
      <c r="P115" s="1181">
        <f t="shared" si="368"/>
        <v>50</v>
      </c>
      <c r="S115" s="3831"/>
      <c r="T115" s="3832"/>
      <c r="U115" s="3832"/>
      <c r="V115" s="3832"/>
      <c r="W115" s="3833"/>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4"/>
      <c r="D116" s="3934"/>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1"/>
      <c r="T116" s="3832"/>
      <c r="U116" s="3832"/>
      <c r="V116" s="3832"/>
      <c r="W116" s="3833"/>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4"/>
      <c r="D117" s="3934"/>
      <c r="E117" s="109"/>
      <c r="F117" s="1"/>
      <c r="G117" s="82"/>
      <c r="H117" s="109" t="s">
        <v>292</v>
      </c>
      <c r="I117" s="36"/>
      <c r="J117" s="82"/>
      <c r="K117" s="1206">
        <f>HA49</f>
        <v>0</v>
      </c>
      <c r="L117" s="1207">
        <f>HB49</f>
        <v>0</v>
      </c>
      <c r="M117" s="1207">
        <f>HC49</f>
        <v>0</v>
      </c>
      <c r="N117" s="1207">
        <f>HD49</f>
        <v>0</v>
      </c>
      <c r="O117" s="1208">
        <f>HE49</f>
        <v>0</v>
      </c>
      <c r="P117" s="834">
        <f t="shared" si="368"/>
        <v>0</v>
      </c>
      <c r="S117" s="3831"/>
      <c r="T117" s="3832"/>
      <c r="U117" s="3832"/>
      <c r="V117" s="3832"/>
      <c r="W117" s="3833"/>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4"/>
      <c r="D118" s="3934"/>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1"/>
      <c r="T118" s="3832"/>
      <c r="U118" s="3832"/>
      <c r="V118" s="3832"/>
      <c r="W118" s="3833"/>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7" t="s">
        <v>1368</v>
      </c>
      <c r="F119" s="3877"/>
      <c r="G119" s="82"/>
      <c r="H119" s="109" t="s">
        <v>1377</v>
      </c>
      <c r="I119" s="36"/>
      <c r="J119" s="82"/>
      <c r="K119" s="1200">
        <f>HK49</f>
        <v>0</v>
      </c>
      <c r="L119" s="1201">
        <f>HL49</f>
        <v>0</v>
      </c>
      <c r="M119" s="1201">
        <f>HM49</f>
        <v>0</v>
      </c>
      <c r="N119" s="1201">
        <f>HN49</f>
        <v>0</v>
      </c>
      <c r="O119" s="1202">
        <f>HO49</f>
        <v>0</v>
      </c>
      <c r="P119" s="837">
        <f t="shared" si="368"/>
        <v>0</v>
      </c>
      <c r="S119" s="3831"/>
      <c r="T119" s="3832"/>
      <c r="U119" s="3832"/>
      <c r="V119" s="3832"/>
      <c r="W119" s="3833"/>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7"/>
      <c r="F120" s="3877"/>
      <c r="G120" s="82"/>
      <c r="H120" s="109" t="s">
        <v>292</v>
      </c>
      <c r="I120" s="36"/>
      <c r="J120" s="82"/>
      <c r="K120" s="1206">
        <f>HP49</f>
        <v>0</v>
      </c>
      <c r="L120" s="1207">
        <f>HQ49</f>
        <v>0</v>
      </c>
      <c r="M120" s="1207">
        <f>HR49</f>
        <v>0</v>
      </c>
      <c r="N120" s="1207">
        <f>HS49</f>
        <v>0</v>
      </c>
      <c r="O120" s="1208">
        <f>HT49</f>
        <v>0</v>
      </c>
      <c r="P120" s="834">
        <f t="shared" si="368"/>
        <v>0</v>
      </c>
      <c r="S120" s="3831"/>
      <c r="T120" s="3832"/>
      <c r="U120" s="3832"/>
      <c r="V120" s="3832"/>
      <c r="W120" s="3833"/>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1"/>
      <c r="T121" s="3832"/>
      <c r="U121" s="3832"/>
      <c r="V121" s="3832"/>
      <c r="W121" s="3833"/>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1"/>
      <c r="T122" s="3832"/>
      <c r="U122" s="3832"/>
      <c r="V122" s="3832"/>
      <c r="W122" s="3833"/>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3" t="str">
        <f>IF(AND('Part IV-A-Uses of Funds'!$T$185="Yes",'Part IX Scoring Criteria'!$O$330&gt;0,P123&lt;1),"SHOW HISTORIC UNITS HERE &gt;&gt;&gt;&gt;","")</f>
        <v/>
      </c>
      <c r="B123" s="3933"/>
      <c r="C123" s="3933"/>
      <c r="D123" s="3933"/>
      <c r="E123" s="462" t="s">
        <v>3140</v>
      </c>
      <c r="F123" s="1"/>
      <c r="G123" s="170"/>
      <c r="H123" s="110"/>
      <c r="I123" s="82"/>
      <c r="J123" s="82"/>
      <c r="K123" s="2927"/>
      <c r="L123" s="2927"/>
      <c r="M123" s="2927"/>
      <c r="N123" s="2927"/>
      <c r="O123" s="2927"/>
      <c r="P123" s="540">
        <f t="shared" si="368"/>
        <v>0</v>
      </c>
      <c r="S123" s="3831"/>
      <c r="T123" s="3832"/>
      <c r="U123" s="3832"/>
      <c r="V123" s="3832"/>
      <c r="W123" s="3833"/>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1"/>
      <c r="T124" s="3832"/>
      <c r="U124" s="3832"/>
      <c r="V124" s="3832"/>
      <c r="W124" s="3833"/>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3"/>
      <c r="T125" s="3844"/>
      <c r="U125" s="3844"/>
      <c r="V125" s="3844"/>
      <c r="W125" s="3845"/>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0" t="s">
        <v>6819</v>
      </c>
      <c r="D127" s="3850"/>
      <c r="E127" s="978" t="s">
        <v>36</v>
      </c>
      <c r="F127" s="866"/>
      <c r="G127" s="979"/>
      <c r="H127" s="1504"/>
      <c r="I127" s="980"/>
      <c r="J127" s="981"/>
      <c r="K127" s="1221">
        <f t="shared" ref="K127:P127" si="369">SUM(K128:K135)</f>
        <v>0</v>
      </c>
      <c r="L127" s="1222">
        <f t="shared" si="369"/>
        <v>10</v>
      </c>
      <c r="M127" s="1222">
        <f t="shared" si="369"/>
        <v>40</v>
      </c>
      <c r="N127" s="1222">
        <f t="shared" si="369"/>
        <v>0</v>
      </c>
      <c r="O127" s="1223">
        <f t="shared" si="369"/>
        <v>0</v>
      </c>
      <c r="P127" s="1184">
        <f t="shared" si="369"/>
        <v>50</v>
      </c>
      <c r="S127" s="3840"/>
      <c r="T127" s="3841"/>
      <c r="U127" s="3841"/>
      <c r="V127" s="3841"/>
      <c r="W127" s="3842"/>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1"/>
      <c r="D128" s="3851"/>
      <c r="E128" s="102"/>
      <c r="F128" s="5"/>
      <c r="G128" s="150"/>
      <c r="H128" s="1501" t="s">
        <v>6596</v>
      </c>
      <c r="I128" s="783"/>
      <c r="J128" s="982"/>
      <c r="K128" s="1203">
        <f>JS49</f>
        <v>0</v>
      </c>
      <c r="L128" s="1204">
        <f>JT49</f>
        <v>0</v>
      </c>
      <c r="M128" s="1204">
        <f>JU49</f>
        <v>0</v>
      </c>
      <c r="N128" s="1204">
        <f>JV49</f>
        <v>0</v>
      </c>
      <c r="O128" s="1205">
        <f>JW49</f>
        <v>0</v>
      </c>
      <c r="P128" s="833">
        <f t="shared" ref="P128:P143" si="370">SUM(K128:O128)</f>
        <v>0</v>
      </c>
      <c r="S128" s="3831"/>
      <c r="T128" s="3832"/>
      <c r="U128" s="3832"/>
      <c r="V128" s="3832"/>
      <c r="W128" s="3833"/>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1"/>
      <c r="D129" s="3851"/>
      <c r="E129" s="102"/>
      <c r="F129" s="5"/>
      <c r="G129" s="150"/>
      <c r="H129" s="1505" t="s">
        <v>3117</v>
      </c>
      <c r="I129" s="94"/>
      <c r="J129" s="982"/>
      <c r="K129" s="1760">
        <f>KC49</f>
        <v>0</v>
      </c>
      <c r="L129" s="1761">
        <f>KD49</f>
        <v>0</v>
      </c>
      <c r="M129" s="1761">
        <f>KE49</f>
        <v>0</v>
      </c>
      <c r="N129" s="1761">
        <f>KF49</f>
        <v>0</v>
      </c>
      <c r="O129" s="1762">
        <f>KG49</f>
        <v>0</v>
      </c>
      <c r="P129" s="1772">
        <f t="shared" si="370"/>
        <v>0</v>
      </c>
      <c r="S129" s="3831"/>
      <c r="T129" s="3832"/>
      <c r="U129" s="3832"/>
      <c r="V129" s="3832"/>
      <c r="W129" s="3833"/>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1"/>
      <c r="D130" s="3851"/>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1"/>
      <c r="T130" s="3832"/>
      <c r="U130" s="3832"/>
      <c r="V130" s="3832"/>
      <c r="W130" s="3833"/>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1"/>
      <c r="D131" s="3851"/>
      <c r="E131" s="102"/>
      <c r="F131" s="5"/>
      <c r="G131" s="150"/>
      <c r="H131" s="1505" t="s">
        <v>3117</v>
      </c>
      <c r="I131" s="94"/>
      <c r="J131" s="982"/>
      <c r="K131" s="1760">
        <f>KH49</f>
        <v>0</v>
      </c>
      <c r="L131" s="1761">
        <f>KI49</f>
        <v>0</v>
      </c>
      <c r="M131" s="1761">
        <f>KJ49</f>
        <v>0</v>
      </c>
      <c r="N131" s="1761">
        <f>KK49</f>
        <v>0</v>
      </c>
      <c r="O131" s="1762">
        <f>KL49</f>
        <v>0</v>
      </c>
      <c r="P131" s="1772">
        <f t="shared" si="371"/>
        <v>0</v>
      </c>
      <c r="S131" s="3831"/>
      <c r="T131" s="3832"/>
      <c r="U131" s="3832"/>
      <c r="V131" s="3832"/>
      <c r="W131" s="3833"/>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1"/>
      <c r="D132" s="3851"/>
      <c r="E132" s="102"/>
      <c r="F132" s="1"/>
      <c r="G132" s="82"/>
      <c r="H132" s="1496" t="s">
        <v>6598</v>
      </c>
      <c r="I132" s="40"/>
      <c r="J132" s="82"/>
      <c r="K132" s="1227">
        <f>KM49</f>
        <v>0</v>
      </c>
      <c r="L132" s="1228">
        <f>KN49</f>
        <v>0</v>
      </c>
      <c r="M132" s="1228">
        <f>KO49</f>
        <v>0</v>
      </c>
      <c r="N132" s="1228">
        <f>KP49</f>
        <v>0</v>
      </c>
      <c r="O132" s="1229">
        <f>KQ49</f>
        <v>0</v>
      </c>
      <c r="P132" s="543">
        <f t="shared" si="371"/>
        <v>0</v>
      </c>
      <c r="S132" s="3831"/>
      <c r="T132" s="3832"/>
      <c r="U132" s="3832"/>
      <c r="V132" s="3832"/>
      <c r="W132" s="3833"/>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1"/>
      <c r="D133" s="3851"/>
      <c r="E133" s="102"/>
      <c r="F133" s="1"/>
      <c r="G133" s="82"/>
      <c r="H133" s="1506" t="s">
        <v>3117</v>
      </c>
      <c r="I133" s="780"/>
      <c r="J133" s="82"/>
      <c r="K133" s="1768">
        <f>KW49</f>
        <v>0</v>
      </c>
      <c r="L133" s="1769">
        <f>KX49</f>
        <v>0</v>
      </c>
      <c r="M133" s="1769">
        <f>KY49</f>
        <v>0</v>
      </c>
      <c r="N133" s="1769">
        <f>KZ49</f>
        <v>0</v>
      </c>
      <c r="O133" s="1770">
        <f>LA49</f>
        <v>0</v>
      </c>
      <c r="P133" s="1771">
        <f t="shared" si="371"/>
        <v>0</v>
      </c>
      <c r="S133" s="3831"/>
      <c r="T133" s="3832"/>
      <c r="U133" s="3832"/>
      <c r="V133" s="3832"/>
      <c r="W133" s="3833"/>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1"/>
      <c r="D134" s="3851"/>
      <c r="E134" s="102"/>
      <c r="F134" s="1"/>
      <c r="G134" s="82"/>
      <c r="H134" s="1496" t="s">
        <v>6813</v>
      </c>
      <c r="I134" s="40"/>
      <c r="J134" s="82"/>
      <c r="K134" s="1227">
        <f>KR49</f>
        <v>0</v>
      </c>
      <c r="L134" s="1228">
        <f>KS49</f>
        <v>10</v>
      </c>
      <c r="M134" s="1228">
        <f>KT49</f>
        <v>40</v>
      </c>
      <c r="N134" s="1228">
        <f>KU49</f>
        <v>0</v>
      </c>
      <c r="O134" s="1229">
        <f>KV49</f>
        <v>0</v>
      </c>
      <c r="P134" s="543">
        <f t="shared" si="371"/>
        <v>50</v>
      </c>
      <c r="S134" s="3831"/>
      <c r="T134" s="3832"/>
      <c r="U134" s="3832"/>
      <c r="V134" s="3832"/>
      <c r="W134" s="3833"/>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1"/>
      <c r="D135" s="3851"/>
      <c r="E135" s="102"/>
      <c r="F135" s="1"/>
      <c r="G135" s="82"/>
      <c r="H135" s="1506" t="s">
        <v>3117</v>
      </c>
      <c r="I135" s="780"/>
      <c r="J135" s="82"/>
      <c r="K135" s="1768">
        <f>LB49</f>
        <v>0</v>
      </c>
      <c r="L135" s="1769">
        <f>LC49</f>
        <v>0</v>
      </c>
      <c r="M135" s="1769">
        <f>LD49</f>
        <v>0</v>
      </c>
      <c r="N135" s="1769">
        <f>LE49</f>
        <v>0</v>
      </c>
      <c r="O135" s="1770">
        <f>LF49</f>
        <v>0</v>
      </c>
      <c r="P135" s="1771">
        <f t="shared" si="371"/>
        <v>0</v>
      </c>
      <c r="S135" s="3831"/>
      <c r="T135" s="3832"/>
      <c r="U135" s="3832"/>
      <c r="V135" s="3832"/>
      <c r="W135" s="3833"/>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1"/>
      <c r="D136" s="3851"/>
      <c r="E136" s="102" t="s">
        <v>6808</v>
      </c>
      <c r="F136" s="1"/>
      <c r="G136" s="82"/>
      <c r="H136" s="1496"/>
      <c r="I136" s="40"/>
      <c r="J136" s="82"/>
      <c r="K136" s="1200">
        <f>IE49</f>
        <v>0</v>
      </c>
      <c r="L136" s="1201">
        <f>IF49</f>
        <v>0</v>
      </c>
      <c r="M136" s="1201">
        <f>IG49</f>
        <v>0</v>
      </c>
      <c r="N136" s="1201">
        <f>IH49</f>
        <v>0</v>
      </c>
      <c r="O136" s="1202">
        <f>II49</f>
        <v>0</v>
      </c>
      <c r="P136" s="1756">
        <f t="shared" si="370"/>
        <v>0</v>
      </c>
      <c r="S136" s="3831"/>
      <c r="T136" s="3832"/>
      <c r="U136" s="3832"/>
      <c r="V136" s="3832"/>
      <c r="W136" s="3833"/>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1"/>
      <c r="D137" s="3851"/>
      <c r="E137" s="102"/>
      <c r="F137" s="1"/>
      <c r="G137" s="82"/>
      <c r="H137" s="1506" t="s">
        <v>3117</v>
      </c>
      <c r="I137" s="780"/>
      <c r="J137" s="82"/>
      <c r="K137" s="1760">
        <f>IJ49</f>
        <v>0</v>
      </c>
      <c r="L137" s="1761">
        <f>IK49</f>
        <v>0</v>
      </c>
      <c r="M137" s="1761">
        <f>IL49</f>
        <v>0</v>
      </c>
      <c r="N137" s="1761">
        <f>IM49</f>
        <v>0</v>
      </c>
      <c r="O137" s="1762">
        <f>IN49</f>
        <v>0</v>
      </c>
      <c r="P137" s="1763">
        <f t="shared" si="370"/>
        <v>0</v>
      </c>
      <c r="S137" s="3831"/>
      <c r="T137" s="3832"/>
      <c r="U137" s="3832"/>
      <c r="V137" s="3832"/>
      <c r="W137" s="3833"/>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1"/>
      <c r="D138" s="3851"/>
      <c r="E138" s="102" t="s">
        <v>6809</v>
      </c>
      <c r="F138" s="1"/>
      <c r="G138" s="82"/>
      <c r="H138" s="1496"/>
      <c r="I138" s="40"/>
      <c r="J138" s="82"/>
      <c r="K138" s="1227">
        <f>JI49</f>
        <v>0</v>
      </c>
      <c r="L138" s="1228">
        <f>JJ49</f>
        <v>0</v>
      </c>
      <c r="M138" s="1228">
        <f>JK49</f>
        <v>0</v>
      </c>
      <c r="N138" s="1228">
        <f>JL49</f>
        <v>0</v>
      </c>
      <c r="O138" s="1229">
        <f>JM49</f>
        <v>0</v>
      </c>
      <c r="P138" s="1757">
        <f t="shared" si="370"/>
        <v>0</v>
      </c>
      <c r="S138" s="3831"/>
      <c r="T138" s="3832"/>
      <c r="U138" s="3832"/>
      <c r="V138" s="3832"/>
      <c r="W138" s="3833"/>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1"/>
      <c r="D139" s="3851"/>
      <c r="E139" s="102"/>
      <c r="F139" s="1"/>
      <c r="G139" s="82"/>
      <c r="H139" s="1506" t="s">
        <v>3117</v>
      </c>
      <c r="I139" s="780"/>
      <c r="J139" s="82"/>
      <c r="K139" s="1760">
        <f>JN49</f>
        <v>0</v>
      </c>
      <c r="L139" s="1761">
        <f>JO49</f>
        <v>0</v>
      </c>
      <c r="M139" s="1761">
        <f>JP49</f>
        <v>0</v>
      </c>
      <c r="N139" s="1761">
        <f>JQ49</f>
        <v>0</v>
      </c>
      <c r="O139" s="1762">
        <f>JR49</f>
        <v>0</v>
      </c>
      <c r="P139" s="1763">
        <f t="shared" si="370"/>
        <v>0</v>
      </c>
      <c r="S139" s="3831"/>
      <c r="T139" s="3832"/>
      <c r="U139" s="3832"/>
      <c r="V139" s="3832"/>
      <c r="W139" s="3833"/>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1"/>
      <c r="D140" s="3851"/>
      <c r="E140" s="109" t="s">
        <v>6592</v>
      </c>
      <c r="F140" s="1"/>
      <c r="G140" s="82"/>
      <c r="H140" s="1496"/>
      <c r="I140" s="40"/>
      <c r="J140" s="82"/>
      <c r="K140" s="1227">
        <f>IY49</f>
        <v>0</v>
      </c>
      <c r="L140" s="1228">
        <f>IZ49</f>
        <v>0</v>
      </c>
      <c r="M140" s="1228">
        <f>JA49</f>
        <v>0</v>
      </c>
      <c r="N140" s="1228">
        <f>JB49</f>
        <v>0</v>
      </c>
      <c r="O140" s="1229">
        <f>JC49</f>
        <v>0</v>
      </c>
      <c r="P140" s="1757">
        <f t="shared" si="370"/>
        <v>0</v>
      </c>
      <c r="S140" s="3831"/>
      <c r="T140" s="3832"/>
      <c r="U140" s="3832"/>
      <c r="V140" s="3832"/>
      <c r="W140" s="3833"/>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1"/>
      <c r="D141" s="3851"/>
      <c r="E141" s="109"/>
      <c r="F141" s="1"/>
      <c r="G141" s="82"/>
      <c r="H141" s="1506" t="s">
        <v>3117</v>
      </c>
      <c r="I141" s="780"/>
      <c r="J141" s="82"/>
      <c r="K141" s="1768">
        <f>JD49</f>
        <v>0</v>
      </c>
      <c r="L141" s="1769">
        <f>JE49</f>
        <v>0</v>
      </c>
      <c r="M141" s="1769">
        <f>JF49</f>
        <v>0</v>
      </c>
      <c r="N141" s="1769">
        <f>JG49</f>
        <v>0</v>
      </c>
      <c r="O141" s="1770">
        <f>JH49</f>
        <v>0</v>
      </c>
      <c r="P141" s="1763">
        <f t="shared" si="370"/>
        <v>0</v>
      </c>
      <c r="S141" s="3831"/>
      <c r="T141" s="3832"/>
      <c r="U141" s="3832"/>
      <c r="V141" s="3832"/>
      <c r="W141" s="3833"/>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1"/>
      <c r="D142" s="3851"/>
      <c r="E142" s="89" t="s">
        <v>537</v>
      </c>
      <c r="F142" s="1"/>
      <c r="G142" s="82"/>
      <c r="H142" s="1496"/>
      <c r="I142" s="40"/>
      <c r="J142" s="82"/>
      <c r="K142" s="1227">
        <f>IO49</f>
        <v>0</v>
      </c>
      <c r="L142" s="1228">
        <f>IP49</f>
        <v>0</v>
      </c>
      <c r="M142" s="1228">
        <f>IQ49</f>
        <v>0</v>
      </c>
      <c r="N142" s="1228">
        <f>IR49</f>
        <v>0</v>
      </c>
      <c r="O142" s="1229">
        <f>IS49</f>
        <v>0</v>
      </c>
      <c r="P142" s="1757">
        <f t="shared" si="370"/>
        <v>0</v>
      </c>
      <c r="S142" s="3831"/>
      <c r="T142" s="3832"/>
      <c r="U142" s="3832"/>
      <c r="V142" s="3832"/>
      <c r="W142" s="3833"/>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3"/>
      <c r="T143" s="3844"/>
      <c r="U143" s="3844"/>
      <c r="V143" s="3844"/>
      <c r="W143" s="3845"/>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37" t="str">
        <f>$L$53</f>
        <v>Income Averaging</v>
      </c>
      <c r="M145" s="3838"/>
      <c r="N145" s="3838"/>
      <c r="O145" s="3839"/>
      <c r="P145" s="82"/>
      <c r="S145" s="3876" t="str">
        <f>B145</f>
        <v>UNIT SUMMARY (Continued)</v>
      </c>
      <c r="T145" s="3876"/>
      <c r="U145" s="3876"/>
      <c r="V145" s="387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0" t="s">
        <v>6820</v>
      </c>
      <c r="D147" s="3850"/>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0"/>
      <c r="T147" s="3841"/>
      <c r="U147" s="3841"/>
      <c r="V147" s="3841"/>
      <c r="W147" s="3842"/>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1"/>
      <c r="D148" s="3851"/>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1"/>
      <c r="T148" s="3832"/>
      <c r="U148" s="3832"/>
      <c r="V148" s="3832"/>
      <c r="W148" s="3833"/>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1"/>
      <c r="D149" s="3851"/>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1"/>
      <c r="T149" s="3832"/>
      <c r="U149" s="3832"/>
      <c r="V149" s="3832"/>
      <c r="W149" s="3833"/>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1"/>
      <c r="D150" s="3851"/>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1"/>
      <c r="T150" s="3832"/>
      <c r="U150" s="3832"/>
      <c r="V150" s="3832"/>
      <c r="W150" s="3833"/>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1"/>
      <c r="D151" s="3851"/>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1"/>
      <c r="T151" s="3832"/>
      <c r="U151" s="3832"/>
      <c r="V151" s="3832"/>
      <c r="W151" s="3833"/>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1"/>
      <c r="D152" s="3851"/>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1"/>
      <c r="T152" s="3832"/>
      <c r="U152" s="3832"/>
      <c r="V152" s="3832"/>
      <c r="W152" s="3833"/>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1"/>
      <c r="D153" s="3851"/>
      <c r="E153" s="102" t="s">
        <v>3115</v>
      </c>
      <c r="F153" s="465"/>
      <c r="G153" s="150"/>
      <c r="H153" s="1501"/>
      <c r="I153" s="783"/>
      <c r="J153" s="982"/>
      <c r="K153" s="1236">
        <f>K130+K134</f>
        <v>0</v>
      </c>
      <c r="L153" s="1237">
        <f t="shared" ref="L153:O153" si="377">L130+L134</f>
        <v>10</v>
      </c>
      <c r="M153" s="1237">
        <f t="shared" si="377"/>
        <v>40</v>
      </c>
      <c r="N153" s="1237">
        <f t="shared" si="377"/>
        <v>0</v>
      </c>
      <c r="O153" s="1238">
        <f t="shared" si="377"/>
        <v>0</v>
      </c>
      <c r="P153" s="1757">
        <f t="shared" si="373"/>
        <v>50</v>
      </c>
      <c r="S153" s="3831"/>
      <c r="T153" s="3832"/>
      <c r="U153" s="3832"/>
      <c r="V153" s="3832"/>
      <c r="W153" s="3833"/>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36" t="s">
        <v>4074</v>
      </c>
      <c r="S154" s="3843"/>
      <c r="T154" s="3844"/>
      <c r="U154" s="3844"/>
      <c r="V154" s="3844"/>
      <c r="W154" s="3845"/>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6"/>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836"/>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0"/>
      <c r="T157" s="3841"/>
      <c r="U157" s="3841"/>
      <c r="V157" s="3841"/>
      <c r="W157" s="3842"/>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690</v>
      </c>
      <c r="M158" s="1240">
        <f>EP49</f>
        <v>3564</v>
      </c>
      <c r="N158" s="1240">
        <f>EQ49</f>
        <v>0</v>
      </c>
      <c r="O158" s="1241">
        <f>ER49</f>
        <v>0</v>
      </c>
      <c r="P158" s="1176">
        <f t="shared" si="379"/>
        <v>4254</v>
      </c>
      <c r="Q158" s="1361">
        <f t="shared" si="380"/>
        <v>850.8</v>
      </c>
      <c r="S158" s="3831"/>
      <c r="T158" s="3832"/>
      <c r="U158" s="3832"/>
      <c r="V158" s="3832"/>
      <c r="W158" s="3833"/>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4140</v>
      </c>
      <c r="M159" s="1240">
        <f>EU49</f>
        <v>21384</v>
      </c>
      <c r="N159" s="1240">
        <f>EV49</f>
        <v>0</v>
      </c>
      <c r="O159" s="1241">
        <f>EW49</f>
        <v>0</v>
      </c>
      <c r="P159" s="1176">
        <f t="shared" si="379"/>
        <v>25524</v>
      </c>
      <c r="Q159" s="1361">
        <f t="shared" si="380"/>
        <v>850.8</v>
      </c>
      <c r="S159" s="3831"/>
      <c r="T159" s="3832"/>
      <c r="U159" s="3832"/>
      <c r="V159" s="3832"/>
      <c r="W159" s="3833"/>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2070</v>
      </c>
      <c r="M160" s="1308">
        <f>EZ49</f>
        <v>10692</v>
      </c>
      <c r="N160" s="1308">
        <f>FA49</f>
        <v>0</v>
      </c>
      <c r="O160" s="1309">
        <f>FB49</f>
        <v>0</v>
      </c>
      <c r="P160" s="1310">
        <f t="shared" si="379"/>
        <v>12762</v>
      </c>
      <c r="Q160" s="1361">
        <f t="shared" si="380"/>
        <v>850.8</v>
      </c>
      <c r="S160" s="3831"/>
      <c r="T160" s="3832"/>
      <c r="U160" s="3832"/>
      <c r="V160" s="3832"/>
      <c r="W160" s="3833"/>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1"/>
      <c r="T161" s="3832"/>
      <c r="U161" s="3832"/>
      <c r="V161" s="3832"/>
      <c r="W161" s="3833"/>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1"/>
      <c r="T162" s="3832"/>
      <c r="U162" s="3832"/>
      <c r="V162" s="3832"/>
      <c r="W162" s="3833"/>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1"/>
      <c r="T163" s="3832"/>
      <c r="U163" s="3832"/>
      <c r="V163" s="3832"/>
      <c r="W163" s="3833"/>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6900</v>
      </c>
      <c r="M164" s="1759">
        <f>SUM(M157:M163)</f>
        <v>35640</v>
      </c>
      <c r="N164" s="1759">
        <f>SUM(N157:N163)</f>
        <v>0</v>
      </c>
      <c r="O164" s="1759">
        <f>SUM(O157:O163)</f>
        <v>0</v>
      </c>
      <c r="P164" s="1759">
        <f>SUM(K164:O164)</f>
        <v>42540</v>
      </c>
      <c r="S164" s="3831"/>
      <c r="T164" s="3832"/>
      <c r="U164" s="3832"/>
      <c r="V164" s="3832"/>
      <c r="W164" s="3833"/>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1"/>
      <c r="T165" s="3832"/>
      <c r="U165" s="3832"/>
      <c r="V165" s="3832"/>
      <c r="W165" s="3833"/>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6900</v>
      </c>
      <c r="M166" s="1758">
        <f>SUM(M164:M165)</f>
        <v>35640</v>
      </c>
      <c r="N166" s="1758">
        <f>SUM(N164:N165)</f>
        <v>0</v>
      </c>
      <c r="O166" s="1758">
        <f>SUM(O164:O165)</f>
        <v>0</v>
      </c>
      <c r="P166" s="1758">
        <f>SUM(K166:O166)</f>
        <v>42540</v>
      </c>
      <c r="S166" s="3831"/>
      <c r="T166" s="3832"/>
      <c r="U166" s="3832"/>
      <c r="V166" s="3832"/>
      <c r="W166" s="3833"/>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1"/>
      <c r="T167" s="3832"/>
      <c r="U167" s="3832"/>
      <c r="V167" s="3832"/>
      <c r="W167" s="3833"/>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6900</v>
      </c>
      <c r="M168" s="1182">
        <f>SUM(M166:M167)</f>
        <v>35640</v>
      </c>
      <c r="N168" s="1182">
        <f>SUM(N166:N167)</f>
        <v>0</v>
      </c>
      <c r="O168" s="1182">
        <f>SUM(O166:O167)</f>
        <v>0</v>
      </c>
      <c r="P168" s="1182">
        <f>SUM(K168:O168)</f>
        <v>42540</v>
      </c>
      <c r="S168" s="3843"/>
      <c r="T168" s="3844"/>
      <c r="U168" s="3844"/>
      <c r="V168" s="3844"/>
      <c r="W168" s="3845"/>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690</v>
      </c>
      <c r="M171" s="1360">
        <f>IF(OR(M67="",M67=0),"",M168/M67)</f>
        <v>891</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3">
        <f>'Part VII-Pro Forma'!B10*M50</f>
        <v>6975.6</v>
      </c>
      <c r="I176" s="3874"/>
      <c r="J176" s="3875"/>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40"/>
      <c r="T180" s="3841"/>
      <c r="U180" s="3841"/>
      <c r="V180" s="3841"/>
      <c r="W180" s="3842"/>
    </row>
    <row r="181" spans="1:493" ht="15.6" customHeight="1">
      <c r="B181" s="109" t="s">
        <v>711</v>
      </c>
      <c r="C181" s="3870"/>
      <c r="D181" s="3871"/>
      <c r="E181" s="3871"/>
      <c r="F181" s="3872"/>
      <c r="H181" s="2929"/>
      <c r="I181" s="2929"/>
      <c r="J181" s="2929"/>
      <c r="K181" s="2929"/>
      <c r="L181" s="2930"/>
      <c r="M181" s="2929"/>
      <c r="N181" s="2929"/>
      <c r="O181" s="2929"/>
      <c r="P181" s="2929"/>
      <c r="Q181" s="2929"/>
      <c r="R181" s="768"/>
      <c r="S181" s="3831"/>
      <c r="T181" s="3832"/>
      <c r="U181" s="3832"/>
      <c r="V181" s="3832"/>
      <c r="W181" s="3833"/>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3"/>
      <c r="T182" s="3844"/>
      <c r="U182" s="3844"/>
      <c r="V182" s="3844"/>
      <c r="W182" s="3845"/>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40"/>
      <c r="T184" s="3841"/>
      <c r="U184" s="3841"/>
      <c r="V184" s="3841"/>
      <c r="W184" s="3842"/>
    </row>
    <row r="185" spans="1:493" ht="15.6" customHeight="1">
      <c r="B185" s="109" t="s">
        <v>711</v>
      </c>
      <c r="C185" s="3870"/>
      <c r="D185" s="3871"/>
      <c r="E185" s="3871"/>
      <c r="F185" s="3872"/>
      <c r="H185" s="2929"/>
      <c r="I185" s="2929"/>
      <c r="J185" s="2929"/>
      <c r="K185" s="2929"/>
      <c r="L185" s="2930"/>
      <c r="M185" s="2929"/>
      <c r="N185" s="2929"/>
      <c r="O185" s="2929"/>
      <c r="P185" s="2929"/>
      <c r="Q185" s="2929"/>
      <c r="R185" s="768"/>
      <c r="S185" s="3831"/>
      <c r="T185" s="3832"/>
      <c r="U185" s="3832"/>
      <c r="V185" s="3832"/>
      <c r="W185" s="3833"/>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3"/>
      <c r="T186" s="3844"/>
      <c r="U186" s="3844"/>
      <c r="V186" s="3844"/>
      <c r="W186" s="3845"/>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40"/>
      <c r="T189" s="3841"/>
      <c r="U189" s="3841"/>
      <c r="V189" s="3841"/>
      <c r="W189" s="3842"/>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0"/>
      <c r="D190" s="3871"/>
      <c r="E190" s="3871"/>
      <c r="F190" s="3872"/>
      <c r="H190" s="2929"/>
      <c r="I190" s="2929"/>
      <c r="J190" s="2929"/>
      <c r="K190" s="2929"/>
      <c r="L190" s="2930"/>
      <c r="M190" s="2929"/>
      <c r="N190" s="2929"/>
      <c r="O190" s="2929"/>
      <c r="P190" s="2929"/>
      <c r="Q190" s="2929"/>
      <c r="R190" s="768"/>
      <c r="S190" s="3831"/>
      <c r="T190" s="3832"/>
      <c r="U190" s="3832"/>
      <c r="V190" s="3832"/>
      <c r="W190" s="383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3"/>
      <c r="T191" s="3844"/>
      <c r="U191" s="3844"/>
      <c r="V191" s="3844"/>
      <c r="W191" s="3845"/>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40"/>
      <c r="T193" s="3841"/>
      <c r="U193" s="3841"/>
      <c r="V193" s="3841"/>
      <c r="W193" s="3842"/>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0"/>
      <c r="D194" s="3871"/>
      <c r="E194" s="3871"/>
      <c r="F194" s="3872"/>
      <c r="H194" s="2929"/>
      <c r="I194" s="2929"/>
      <c r="J194" s="2929"/>
      <c r="K194" s="2929"/>
      <c r="L194" s="2930"/>
      <c r="M194" s="2929"/>
      <c r="N194" s="2929"/>
      <c r="O194" s="2929"/>
      <c r="P194" s="2929"/>
      <c r="Q194" s="2929"/>
      <c r="R194" s="768"/>
      <c r="S194" s="3831"/>
      <c r="T194" s="3832"/>
      <c r="U194" s="3832"/>
      <c r="V194" s="3832"/>
      <c r="W194" s="383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3"/>
      <c r="T195" s="3844"/>
      <c r="U195" s="3844"/>
      <c r="V195" s="3844"/>
      <c r="W195" s="3845"/>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40"/>
      <c r="T198" s="3841"/>
      <c r="U198" s="3841"/>
      <c r="V198" s="3841"/>
      <c r="W198" s="3842"/>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0"/>
      <c r="D199" s="3871"/>
      <c r="E199" s="3871"/>
      <c r="F199" s="3872"/>
      <c r="H199" s="2929"/>
      <c r="I199" s="2929"/>
      <c r="J199" s="2929"/>
      <c r="K199" s="2929"/>
      <c r="L199" s="2930"/>
      <c r="M199" s="2929"/>
      <c r="N199" s="2929"/>
      <c r="O199" s="2929"/>
      <c r="P199" s="2929"/>
      <c r="Q199" s="2929"/>
      <c r="R199" s="768"/>
      <c r="S199" s="3831"/>
      <c r="T199" s="3832"/>
      <c r="U199" s="3832"/>
      <c r="V199" s="3832"/>
      <c r="W199" s="383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3"/>
      <c r="T200" s="3844"/>
      <c r="U200" s="3844"/>
      <c r="V200" s="3844"/>
      <c r="W200" s="3845"/>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40"/>
      <c r="T202" s="3841"/>
      <c r="U202" s="3841"/>
      <c r="V202" s="3841"/>
      <c r="W202" s="3842"/>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0"/>
      <c r="D203" s="3871"/>
      <c r="E203" s="3871"/>
      <c r="F203" s="3872"/>
      <c r="H203" s="2929"/>
      <c r="I203" s="2929"/>
      <c r="J203" s="2929"/>
      <c r="K203" s="2929"/>
      <c r="L203" s="2930"/>
      <c r="M203" s="2929"/>
      <c r="N203" s="2929"/>
      <c r="O203" s="2929"/>
      <c r="P203" s="2929"/>
      <c r="Q203" s="2929"/>
      <c r="R203" s="768"/>
      <c r="S203" s="3831"/>
      <c r="T203" s="3832"/>
      <c r="U203" s="3832"/>
      <c r="V203" s="3832"/>
      <c r="W203" s="383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3"/>
      <c r="T204" s="3844"/>
      <c r="U204" s="3844"/>
      <c r="V204" s="3844"/>
      <c r="W204" s="3845"/>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40"/>
      <c r="T207" s="3841"/>
      <c r="U207" s="3841"/>
      <c r="V207" s="3841"/>
      <c r="W207" s="3842"/>
    </row>
    <row r="208" spans="1:493" ht="15.6" customHeight="1">
      <c r="B208" s="109" t="s">
        <v>711</v>
      </c>
      <c r="C208" s="3870"/>
      <c r="D208" s="3871"/>
      <c r="E208" s="3871"/>
      <c r="F208" s="3872"/>
      <c r="H208" s="2929"/>
      <c r="I208" s="2929"/>
      <c r="J208" s="2929"/>
      <c r="K208" s="2929"/>
      <c r="L208" s="2930"/>
      <c r="M208" s="89"/>
      <c r="N208" s="89"/>
      <c r="O208" s="89"/>
      <c r="P208" s="89"/>
      <c r="Q208" s="89"/>
      <c r="R208" s="8"/>
      <c r="S208" s="3831"/>
      <c r="T208" s="3832"/>
      <c r="U208" s="3832"/>
      <c r="V208" s="3832"/>
      <c r="W208" s="3833"/>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3"/>
      <c r="T209" s="3844"/>
      <c r="U209" s="3844"/>
      <c r="V209" s="3844"/>
      <c r="W209" s="3845"/>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40"/>
      <c r="T211" s="3841"/>
      <c r="U211" s="3841"/>
      <c r="V211" s="3841"/>
      <c r="W211" s="3842"/>
    </row>
    <row r="212" spans="1:493" ht="15.6" customHeight="1">
      <c r="B212" s="109" t="s">
        <v>711</v>
      </c>
      <c r="C212" s="3870"/>
      <c r="D212" s="3871"/>
      <c r="E212" s="3871"/>
      <c r="F212" s="3872"/>
      <c r="H212" s="2929"/>
      <c r="I212" s="2929"/>
      <c r="J212" s="2929"/>
      <c r="K212" s="2929"/>
      <c r="L212" s="2930"/>
      <c r="M212" s="89"/>
      <c r="N212" s="89"/>
      <c r="O212" s="89"/>
      <c r="P212" s="89"/>
      <c r="Q212" s="89"/>
      <c r="R212" s="8"/>
      <c r="S212" s="3831"/>
      <c r="T212" s="3832"/>
      <c r="U212" s="3832"/>
      <c r="V212" s="3832"/>
      <c r="W212" s="3833"/>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3"/>
      <c r="T213" s="3844"/>
      <c r="U213" s="3844"/>
      <c r="V213" s="3844"/>
      <c r="W213" s="3845"/>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24000</v>
      </c>
      <c r="R217" s="1"/>
      <c r="S217" s="3840"/>
      <c r="T217" s="3841"/>
      <c r="U217" s="3841"/>
      <c r="V217" s="3841"/>
      <c r="W217" s="3842"/>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8">
        <v>30888</v>
      </c>
      <c r="G218" s="3899"/>
      <c r="H218" s="1"/>
      <c r="I218" s="1" t="s">
        <v>1329</v>
      </c>
      <c r="K218" s="1"/>
      <c r="L218" s="3898"/>
      <c r="M218" s="3899"/>
      <c r="N218" s="1"/>
      <c r="O218" s="384">
        <f>+Q217/(P67*0.93)</f>
        <v>516.12903225806451</v>
      </c>
      <c r="P218" s="66" t="s">
        <v>2586</v>
      </c>
      <c r="Q218" s="1"/>
      <c r="R218" s="768"/>
      <c r="S218" s="3831"/>
      <c r="T218" s="3832"/>
      <c r="U218" s="3832"/>
      <c r="V218" s="3832"/>
      <c r="W218" s="383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2">
        <v>33290</v>
      </c>
      <c r="G219" s="3893"/>
      <c r="H219" s="1"/>
      <c r="I219" s="1" t="s">
        <v>1330</v>
      </c>
      <c r="K219" s="1"/>
      <c r="L219" s="3894">
        <v>600</v>
      </c>
      <c r="M219" s="3895"/>
      <c r="N219" s="1"/>
      <c r="O219" s="384">
        <f>+Q217/(P67*0.93)/12</f>
        <v>43.01075268817204</v>
      </c>
      <c r="P219" s="66" t="s">
        <v>2587</v>
      </c>
      <c r="Q219" s="1"/>
      <c r="R219" s="768"/>
      <c r="S219" s="3831"/>
      <c r="T219" s="3832"/>
      <c r="U219" s="3832"/>
      <c r="V219" s="3832"/>
      <c r="W219" s="383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2"/>
      <c r="G220" s="3893"/>
      <c r="H220" s="1"/>
      <c r="I220" s="1"/>
      <c r="K220" s="121" t="s">
        <v>183</v>
      </c>
      <c r="L220" s="3900">
        <f>SUM(L218:M219)</f>
        <v>600</v>
      </c>
      <c r="M220" s="3901"/>
      <c r="N220" s="1"/>
      <c r="O220" s="36" t="s">
        <v>3355</v>
      </c>
      <c r="P220" s="848"/>
      <c r="Q220" s="848"/>
      <c r="R220" s="768"/>
      <c r="S220" s="3831"/>
      <c r="T220" s="3832"/>
      <c r="U220" s="3832"/>
      <c r="V220" s="3832"/>
      <c r="W220" s="383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892"/>
      <c r="G221" s="3893"/>
      <c r="H221" s="1"/>
      <c r="I221" s="1"/>
      <c r="K221" s="1"/>
      <c r="L221" s="1"/>
      <c r="M221" s="1"/>
      <c r="N221" s="1"/>
      <c r="R221" s="768"/>
      <c r="S221" s="3831"/>
      <c r="T221" s="3832"/>
      <c r="U221" s="3832"/>
      <c r="V221" s="3832"/>
      <c r="W221" s="383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892"/>
      <c r="G222" s="3893"/>
      <c r="H222" s="1"/>
      <c r="I222" s="1"/>
      <c r="K222" s="1"/>
      <c r="L222" s="1"/>
      <c r="M222" s="1"/>
      <c r="N222" s="1"/>
      <c r="R222" s="768"/>
      <c r="S222" s="3831"/>
      <c r="T222" s="3832"/>
      <c r="U222" s="3832"/>
      <c r="V222" s="3832"/>
      <c r="W222" s="383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0" t="s">
        <v>46</v>
      </c>
      <c r="C223" s="3881"/>
      <c r="D223" s="3881"/>
      <c r="E223" s="3882"/>
      <c r="F223" s="3894"/>
      <c r="G223" s="3895"/>
      <c r="H223" s="1"/>
      <c r="I223" s="10" t="s">
        <v>1244</v>
      </c>
      <c r="K223" s="1"/>
      <c r="L223" s="1"/>
      <c r="M223" s="1"/>
      <c r="N223" s="1"/>
      <c r="R223" s="768"/>
      <c r="S223" s="3831"/>
      <c r="T223" s="3832"/>
      <c r="U223" s="3832"/>
      <c r="V223" s="3832"/>
      <c r="W223" s="383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0">
        <f>SUM(F218:G223)</f>
        <v>64178</v>
      </c>
      <c r="G224" s="3901"/>
      <c r="H224" s="1"/>
      <c r="I224" s="1" t="s">
        <v>1536</v>
      </c>
      <c r="K224" s="1"/>
      <c r="L224" s="3883">
        <v>500</v>
      </c>
      <c r="M224" s="3884"/>
      <c r="N224" s="1"/>
      <c r="R224" s="1"/>
      <c r="S224" s="3831"/>
      <c r="T224" s="3832"/>
      <c r="U224" s="3832"/>
      <c r="V224" s="3832"/>
      <c r="W224" s="383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5">
        <v>7000</v>
      </c>
      <c r="M225" s="3886"/>
      <c r="N225" s="3916" t="str">
        <f>IF(Q227="","",IF(Q225&lt;Q227, "WARNING! OE below required minimum.",""))</f>
        <v/>
      </c>
      <c r="O225" s="10" t="s">
        <v>2091</v>
      </c>
      <c r="P225" s="5"/>
      <c r="Q225" s="393">
        <f>F224+F233+F244+L220+L228+L237+L244+Q217</f>
        <v>249488</v>
      </c>
      <c r="R225" s="5"/>
      <c r="S225" s="3831"/>
      <c r="T225" s="3832"/>
      <c r="U225" s="3832"/>
      <c r="V225" s="3832"/>
      <c r="W225" s="383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5">
        <v>500</v>
      </c>
      <c r="M226" s="3886"/>
      <c r="N226" s="3916"/>
      <c r="O226" s="66" t="s">
        <v>2588</v>
      </c>
      <c r="P226" s="384">
        <f>+Q225/P67</f>
        <v>4989.76</v>
      </c>
      <c r="R226" s="769"/>
      <c r="S226" s="3831"/>
      <c r="T226" s="3832"/>
      <c r="U226" s="3832"/>
      <c r="V226" s="3832"/>
      <c r="W226" s="383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8">
        <v>1750</v>
      </c>
      <c r="G227" s="3899"/>
      <c r="H227" s="1"/>
      <c r="I227" s="3889" t="s">
        <v>46</v>
      </c>
      <c r="J227" s="3890"/>
      <c r="K227" s="3891"/>
      <c r="L227" s="3896"/>
      <c r="M227" s="3897"/>
      <c r="N227" s="3916"/>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225000</v>
      </c>
      <c r="R227" s="1"/>
      <c r="S227" s="3831"/>
      <c r="T227" s="3832"/>
      <c r="U227" s="3832"/>
      <c r="V227" s="3832"/>
      <c r="W227" s="383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2">
        <v>8500</v>
      </c>
      <c r="G228" s="3893"/>
      <c r="H228" s="1"/>
      <c r="I228" s="10"/>
      <c r="K228" s="11" t="s">
        <v>183</v>
      </c>
      <c r="L228" s="3902">
        <f>SUM(L224:L227)</f>
        <v>8000</v>
      </c>
      <c r="M228" s="3903"/>
      <c r="N228" s="3916"/>
      <c r="R228" s="1"/>
      <c r="S228" s="3831"/>
      <c r="T228" s="3832"/>
      <c r="U228" s="3832"/>
      <c r="V228" s="3832"/>
      <c r="W228" s="383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2"/>
      <c r="G229" s="3893"/>
      <c r="H229" s="1"/>
      <c r="N229" s="1"/>
      <c r="R229" s="2656"/>
      <c r="S229" s="3831"/>
      <c r="T229" s="3832"/>
      <c r="U229" s="3832"/>
      <c r="V229" s="3832"/>
      <c r="W229" s="383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2"/>
      <c r="G230" s="3893"/>
      <c r="H230" s="1"/>
      <c r="L230" s="1"/>
      <c r="M230" s="1"/>
      <c r="N230" s="1"/>
      <c r="R230" s="2656"/>
      <c r="S230" s="3831"/>
      <c r="T230" s="3832"/>
      <c r="U230" s="3832"/>
      <c r="V230" s="3832"/>
      <c r="W230" s="383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2">
        <v>2880</v>
      </c>
      <c r="G231" s="3893"/>
      <c r="H231" s="1"/>
      <c r="I231" s="10" t="s">
        <v>1326</v>
      </c>
      <c r="K231" s="2635" t="s">
        <v>4064</v>
      </c>
      <c r="O231" s="1395" t="s">
        <v>3206</v>
      </c>
      <c r="P231" s="10"/>
      <c r="Q231" s="2932">
        <f>Q240</f>
        <v>12500</v>
      </c>
      <c r="S231" s="3831"/>
      <c r="T231" s="3832"/>
      <c r="U231" s="3832"/>
      <c r="V231" s="3832"/>
      <c r="W231" s="383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0" t="s">
        <v>6926</v>
      </c>
      <c r="C232" s="3881"/>
      <c r="D232" s="3881"/>
      <c r="E232" s="3882"/>
      <c r="F232" s="3894">
        <v>6000</v>
      </c>
      <c r="G232" s="3895"/>
      <c r="H232" s="1"/>
      <c r="I232" s="1" t="s">
        <v>1319</v>
      </c>
      <c r="K232" s="438">
        <f>L232/12/P67</f>
        <v>32.5</v>
      </c>
      <c r="L232" s="3883">
        <v>19500</v>
      </c>
      <c r="M232" s="3884"/>
      <c r="N232" s="3907" t="str">
        <f>IF(Q231&lt;Q240, "WARNING! RR proposed is below the DCA required minimum.","")</f>
        <v/>
      </c>
      <c r="O232" s="871" t="s">
        <v>4063</v>
      </c>
      <c r="P232" s="866"/>
      <c r="Q232" s="872">
        <f>Q231/P240</f>
        <v>250</v>
      </c>
      <c r="R232" s="768"/>
      <c r="S232" s="3831"/>
      <c r="T232" s="3832"/>
      <c r="U232" s="3832"/>
      <c r="V232" s="3832"/>
      <c r="W232" s="383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0">
        <f>SUM(F227:G232)</f>
        <v>19130</v>
      </c>
      <c r="G233" s="3901"/>
      <c r="H233" s="1"/>
      <c r="I233" s="1" t="s">
        <v>1320</v>
      </c>
      <c r="K233" s="438">
        <f>L233/12/P67</f>
        <v>0</v>
      </c>
      <c r="L233" s="3885"/>
      <c r="M233" s="3886"/>
      <c r="N233" s="3908"/>
      <c r="O233" s="3909" t="s">
        <v>3363</v>
      </c>
      <c r="P233" s="3910"/>
      <c r="Q233" s="3911"/>
      <c r="S233" s="3831"/>
      <c r="T233" s="3832"/>
      <c r="U233" s="3832"/>
      <c r="V233" s="3832"/>
      <c r="W233" s="383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6.6666666666666661</v>
      </c>
      <c r="L234" s="3885">
        <v>4000</v>
      </c>
      <c r="M234" s="3886"/>
      <c r="N234" s="3908"/>
      <c r="O234" s="865" t="s">
        <v>2561</v>
      </c>
      <c r="P234" s="765" t="s">
        <v>3420</v>
      </c>
      <c r="Q234" s="867" t="s">
        <v>3174</v>
      </c>
      <c r="R234" s="5"/>
      <c r="S234" s="3831"/>
      <c r="T234" s="3832"/>
      <c r="U234" s="3832"/>
      <c r="V234" s="3832"/>
      <c r="W234" s="383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5">
        <v>5000</v>
      </c>
      <c r="M235" s="3886"/>
      <c r="N235" s="3908"/>
      <c r="O235" s="568" t="s">
        <v>36</v>
      </c>
      <c r="P235" s="569"/>
      <c r="Q235" s="570"/>
      <c r="R235" s="769"/>
      <c r="S235" s="3831"/>
      <c r="T235" s="3832"/>
      <c r="U235" s="3832"/>
      <c r="V235" s="3832"/>
      <c r="W235" s="383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2">
        <v>2500</v>
      </c>
      <c r="G236" s="3913"/>
      <c r="H236" s="1"/>
      <c r="I236" s="3889" t="s">
        <v>7005</v>
      </c>
      <c r="J236" s="3890"/>
      <c r="K236" s="3891"/>
      <c r="L236" s="3896">
        <v>1920</v>
      </c>
      <c r="M236" s="3897"/>
      <c r="N236" s="3908"/>
      <c r="O236" s="464" t="s">
        <v>3172</v>
      </c>
      <c r="P236" s="770" t="str">
        <f>CONCATENATE(SUM(MF49:MJ49)," units x $",'DCA Underwriting Assumptions'!$Q$68," =")</f>
        <v>0 units x $350 =</v>
      </c>
      <c r="Q236" s="571">
        <f>SUM(MF49:MJ49)*'DCA Underwriting Assumptions'!$Q$68</f>
        <v>0</v>
      </c>
      <c r="R236" s="2933"/>
      <c r="S236" s="3831"/>
      <c r="T236" s="3832"/>
      <c r="U236" s="3832"/>
      <c r="V236" s="3832"/>
      <c r="W236" s="383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4">
        <v>4500</v>
      </c>
      <c r="G237" s="3915"/>
      <c r="H237" s="1"/>
      <c r="I237" s="1"/>
      <c r="K237" s="11" t="s">
        <v>183</v>
      </c>
      <c r="L237" s="3902">
        <f>SUM(L232:L236)</f>
        <v>30420</v>
      </c>
      <c r="M237" s="3903"/>
      <c r="N237" s="3908"/>
      <c r="O237" s="464" t="s">
        <v>3171</v>
      </c>
      <c r="P237" s="770" t="str">
        <f>CONCATENATE(SUM(MK49:MO49)," units x $",'DCA Underwriting Assumptions'!$Q$69," =")</f>
        <v>50 units x $250 =</v>
      </c>
      <c r="Q237" s="571">
        <f>SUM(MK49:MO49)*'DCA Underwriting Assumptions'!$Q$69</f>
        <v>12500</v>
      </c>
      <c r="S237" s="3831"/>
      <c r="T237" s="3832"/>
      <c r="U237" s="3832"/>
      <c r="V237" s="3832"/>
      <c r="W237" s="383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4">
        <v>18000</v>
      </c>
      <c r="G238" s="3915"/>
      <c r="H238" s="1"/>
      <c r="K238" s="1"/>
      <c r="L238" s="1"/>
      <c r="N238" s="3908"/>
      <c r="O238" s="572" t="s">
        <v>6835</v>
      </c>
      <c r="P238" s="770" t="str">
        <f>CONCATENATE(SUM(MP49:MT49)," units x $",'DCA Underwriting Assumptions'!$Q$70," =")</f>
        <v>0 units x $420 =</v>
      </c>
      <c r="Q238" s="571">
        <f>SUM(MP49:MT49)*'DCA Underwriting Assumptions'!$Q$70</f>
        <v>0</v>
      </c>
      <c r="R238" s="765"/>
      <c r="S238" s="3831"/>
      <c r="T238" s="3832"/>
      <c r="U238" s="3832"/>
      <c r="V238" s="3832"/>
      <c r="W238" s="383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2">
        <v>7000</v>
      </c>
      <c r="G239" s="3893"/>
      <c r="H239" s="1"/>
      <c r="O239" s="572" t="s">
        <v>3170</v>
      </c>
      <c r="P239" s="770" t="str">
        <f>CONCATENATE(P125," units x $",'DCA Underwriting Assumptions'!$Q$70," =")</f>
        <v>0 units x $420 =</v>
      </c>
      <c r="Q239" s="571">
        <f>P125*'DCA Underwriting Assumptions'!$Q$70</f>
        <v>0</v>
      </c>
      <c r="R239" s="569"/>
      <c r="S239" s="3831"/>
      <c r="T239" s="3832"/>
      <c r="U239" s="3832"/>
      <c r="V239" s="3832"/>
      <c r="W239" s="383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2">
        <v>1200</v>
      </c>
      <c r="G240" s="3893"/>
      <c r="H240" s="1"/>
      <c r="I240" s="10" t="s">
        <v>1327</v>
      </c>
      <c r="O240" s="868" t="s">
        <v>2564</v>
      </c>
      <c r="P240" s="869">
        <f>SUM(MF49:MJ49)+SUM(MK49:MO49)+SUM(MP49:MT49)+P125</f>
        <v>50</v>
      </c>
      <c r="Q240" s="870">
        <f>SUM(Q236:Q239)</f>
        <v>12500</v>
      </c>
      <c r="R240" s="770"/>
      <c r="S240" s="3831"/>
      <c r="T240" s="3832"/>
      <c r="U240" s="3832"/>
      <c r="V240" s="3832"/>
      <c r="W240" s="383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2">
        <v>3000</v>
      </c>
      <c r="G241" s="3893"/>
      <c r="H241" s="1"/>
      <c r="I241" s="93" t="s">
        <v>4121</v>
      </c>
      <c r="K241" s="1"/>
      <c r="L241" s="3883">
        <v>35000</v>
      </c>
      <c r="M241" s="3884"/>
      <c r="R241" s="770"/>
      <c r="S241" s="3831"/>
      <c r="T241" s="3832"/>
      <c r="U241" s="3832"/>
      <c r="V241" s="3832"/>
      <c r="W241" s="383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2">
        <v>500</v>
      </c>
      <c r="G242" s="3893"/>
      <c r="H242" s="1"/>
      <c r="I242" s="1" t="s">
        <v>139</v>
      </c>
      <c r="K242" s="1"/>
      <c r="L242" s="3885">
        <v>29960</v>
      </c>
      <c r="M242" s="3886"/>
      <c r="R242" s="770"/>
      <c r="S242" s="3831"/>
      <c r="T242" s="3832"/>
      <c r="U242" s="3832"/>
      <c r="V242" s="3832"/>
      <c r="W242" s="383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0" t="s">
        <v>46</v>
      </c>
      <c r="C243" s="3881"/>
      <c r="D243" s="3881"/>
      <c r="E243" s="3882"/>
      <c r="F243" s="3894"/>
      <c r="G243" s="3895"/>
      <c r="H243" s="1"/>
      <c r="I243" s="3889" t="s">
        <v>6927</v>
      </c>
      <c r="J243" s="3890"/>
      <c r="K243" s="3891"/>
      <c r="L243" s="3887">
        <v>1500</v>
      </c>
      <c r="M243" s="3888"/>
      <c r="N243" s="1"/>
      <c r="R243" s="770"/>
      <c r="S243" s="3831"/>
      <c r="T243" s="3832"/>
      <c r="U243" s="3832"/>
      <c r="V243" s="3832"/>
      <c r="W243" s="383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5">
        <f>SUM(F236:G243)</f>
        <v>36700</v>
      </c>
      <c r="G244" s="3906"/>
      <c r="H244" s="1"/>
      <c r="K244" s="11" t="s">
        <v>183</v>
      </c>
      <c r="L244" s="3902">
        <f>SUM(L240:L243)</f>
        <v>66460</v>
      </c>
      <c r="M244" s="3904"/>
      <c r="N244" s="1"/>
      <c r="O244" s="10" t="s">
        <v>2092</v>
      </c>
      <c r="P244" s="1"/>
      <c r="Q244" s="393">
        <f>Q225+Q231</f>
        <v>261988</v>
      </c>
      <c r="R244" s="770"/>
      <c r="S244" s="3843"/>
      <c r="T244" s="3844"/>
      <c r="U244" s="3844"/>
      <c r="V244" s="3844"/>
      <c r="W244" s="3845"/>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834"/>
      <c r="L248" s="3835"/>
      <c r="M248" s="1359" t="s">
        <v>4090</v>
      </c>
      <c r="N248" s="2934"/>
      <c r="O248" s="10" t="s">
        <v>4056</v>
      </c>
      <c r="P248" s="1"/>
      <c r="Q248" s="2935">
        <f>K248*N248</f>
        <v>0</v>
      </c>
      <c r="R248" s="768"/>
      <c r="S248" s="3919"/>
      <c r="T248" s="3920"/>
      <c r="U248" s="3920"/>
      <c r="V248" s="3920"/>
      <c r="W248" s="392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4" t="s">
        <v>1691</v>
      </c>
      <c r="K250" s="1306" t="s">
        <v>4093</v>
      </c>
      <c r="L250" s="2844" t="s">
        <v>1691</v>
      </c>
      <c r="M250" s="72" t="s">
        <v>4094</v>
      </c>
      <c r="N250" s="2934"/>
      <c r="O250" s="445" t="s">
        <v>4092</v>
      </c>
      <c r="P250" s="1"/>
      <c r="Q250" s="2936"/>
      <c r="R250" s="768"/>
      <c r="S250" s="3919"/>
      <c r="T250" s="3920"/>
      <c r="U250" s="3920"/>
      <c r="V250" s="3920"/>
      <c r="W250" s="392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0"/>
    </row>
    <row r="253" spans="1:493" ht="408.75" customHeight="1">
      <c r="A253" s="3580" t="s">
        <v>7006</v>
      </c>
      <c r="B253" s="3580"/>
      <c r="C253" s="3580"/>
      <c r="D253" s="3580"/>
      <c r="E253" s="3580"/>
      <c r="F253" s="3580"/>
      <c r="G253" s="3580"/>
      <c r="H253" s="3580"/>
      <c r="I253" s="3580"/>
      <c r="J253" s="3580"/>
      <c r="K253" s="3580"/>
      <c r="L253" s="3580"/>
      <c r="M253" s="3580"/>
      <c r="N253" s="3579"/>
      <c r="O253" s="3579"/>
      <c r="P253" s="3579"/>
      <c r="Q253" s="3579"/>
      <c r="R253" s="3917"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VkGqr5Ss0uFiB1kivKKsP6x9BGz6HdLiLvKmE3EQ6hLmQbzcFL8SDlE4Ed63WmOmfs0o2SEEM/6KB5ShAhoasA==" saltValue="hd+tMR7unDHew5lbaQlPX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6762</v>
      </c>
      <c r="C1" s="2807" t="s">
        <v>6763</v>
      </c>
      <c r="D1" s="2807" t="s">
        <v>6764</v>
      </c>
      <c r="E1" s="2807" t="s">
        <v>6765</v>
      </c>
      <c r="F1" s="2807" t="s">
        <v>6766</v>
      </c>
      <c r="G1" s="2807" t="s">
        <v>6767</v>
      </c>
      <c r="H1" s="2807" t="s">
        <v>6768</v>
      </c>
      <c r="I1" s="2807" t="s">
        <v>6769</v>
      </c>
      <c r="J1" s="2807" t="s">
        <v>6770</v>
      </c>
      <c r="K1" s="2807" t="s">
        <v>6771</v>
      </c>
      <c r="AA1" s="1788">
        <v>1</v>
      </c>
    </row>
    <row r="2" spans="1:27" s="16" customFormat="1" ht="14.1" customHeight="1">
      <c r="A2" s="3939" t="str">
        <f>CONCATENATE("PART SEVEN - OPERATING PRO FORMA","  -  ",'Part I-Project Information'!$O$7," ",'Part I-Project Information'!$F$35,", ",'Part I-Project Information'!F39,", ",'Part I-Project Information'!J40," County")</f>
        <v>PART SEVEN - OPERATING PRO FORMA  -  2021-050 Sparrow Pointe, Rome, Floyd County</v>
      </c>
      <c r="B2" s="3940"/>
      <c r="C2" s="3940"/>
      <c r="D2" s="3940"/>
      <c r="E2" s="3940"/>
      <c r="F2" s="3940"/>
      <c r="G2" s="3940"/>
      <c r="H2" s="3940"/>
      <c r="I2" s="3940"/>
      <c r="J2" s="3940"/>
      <c r="K2" s="3941"/>
      <c r="L2" s="10"/>
      <c r="M2" s="10"/>
      <c r="N2" s="3942" t="str">
        <f>A2</f>
        <v>PART SEVEN - OPERATING PRO FORMA  -  2021-050 Sparrow Pointe, Rome, Floyd County</v>
      </c>
      <c r="O2" s="3942"/>
      <c r="P2" s="10"/>
      <c r="Z2" s="2807"/>
      <c r="AA2" s="1787">
        <v>2</v>
      </c>
    </row>
    <row r="3" spans="1:27" ht="13.5" customHeight="1">
      <c r="A3" s="461"/>
      <c r="B3" s="461"/>
      <c r="C3" s="461"/>
      <c r="D3" s="461"/>
      <c r="E3" s="461"/>
      <c r="F3" s="461"/>
      <c r="G3" s="461"/>
      <c r="H3" s="461"/>
      <c r="I3" s="461"/>
      <c r="J3" s="461"/>
      <c r="K3" s="461"/>
      <c r="N3" s="3943" t="s">
        <v>1760</v>
      </c>
      <c r="O3" s="3943"/>
      <c r="AA3" s="1788">
        <v>3</v>
      </c>
    </row>
    <row r="4" spans="1:27" ht="13.5" customHeight="1">
      <c r="A4" s="13" t="s">
        <v>85</v>
      </c>
      <c r="C4" s="3944"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4"/>
      <c r="H5" s="16"/>
      <c r="I5" s="16"/>
      <c r="AA5" s="1788">
        <v>5</v>
      </c>
    </row>
    <row r="6" spans="1:27" ht="13.5" customHeight="1">
      <c r="A6" s="16" t="s">
        <v>2093</v>
      </c>
      <c r="B6" s="77">
        <v>0.02</v>
      </c>
      <c r="C6" s="3944"/>
      <c r="D6" s="3851" t="s">
        <v>3556</v>
      </c>
      <c r="E6" s="3851"/>
      <c r="F6" s="3851"/>
      <c r="G6" s="2937">
        <v>7500</v>
      </c>
      <c r="H6" s="95" t="s">
        <v>1818</v>
      </c>
      <c r="K6" s="100">
        <f>IF(($B$15+$B$16+$B$17+$B$18)=0,"",B31/($B$15+$B$16+$B$17+$B$18))</f>
        <v>-2.2668697636895267E-2</v>
      </c>
      <c r="N6" s="3840"/>
      <c r="O6" s="3842"/>
      <c r="AA6" s="1788">
        <v>6</v>
      </c>
    </row>
    <row r="7" spans="1:27">
      <c r="A7" s="16" t="s">
        <v>2094</v>
      </c>
      <c r="B7" s="77">
        <v>0.03</v>
      </c>
      <c r="C7" s="3944"/>
      <c r="D7" s="3851"/>
      <c r="E7" s="3851"/>
      <c r="F7" s="3851"/>
      <c r="G7" s="1012">
        <f>IF(OR('Part III-Sources of Funds'!E6="Yes",'Part III-Sources of Funds'!I6&gt;0),'DCA Underwriting Assumptions'!$Q$101,0)</f>
        <v>0</v>
      </c>
      <c r="H7" s="16"/>
      <c r="I7" s="16"/>
      <c r="J7" s="16"/>
      <c r="K7" s="16"/>
      <c r="N7" s="3831"/>
      <c r="O7" s="3833"/>
      <c r="AA7" s="1788">
        <v>7</v>
      </c>
    </row>
    <row r="8" spans="1:27">
      <c r="A8" s="16" t="s">
        <v>2096</v>
      </c>
      <c r="B8" s="77">
        <v>0.03</v>
      </c>
      <c r="C8" s="3944"/>
      <c r="D8" s="79" t="s">
        <v>259</v>
      </c>
      <c r="G8" s="81"/>
      <c r="H8" s="95" t="s">
        <v>2269</v>
      </c>
      <c r="K8" s="100">
        <f>IF(($B$15+$B$16+$B$17+$B$18)=0,"",-B22/($B$15+$B$16+$B$17+$B$18))</f>
        <v>7.2539832438064861E-2</v>
      </c>
      <c r="N8" s="3831"/>
      <c r="O8" s="3833"/>
      <c r="AA8" s="1788">
        <v>8</v>
      </c>
    </row>
    <row r="9" spans="1:27" ht="13.35" customHeight="1">
      <c r="A9" s="16" t="s">
        <v>2095</v>
      </c>
      <c r="B9" s="2938">
        <v>7.0000000000000007E-2</v>
      </c>
      <c r="C9" s="1297" t="str">
        <f>IF(B9&lt;0.07, "Must be &gt;= 7%!","")</f>
        <v/>
      </c>
      <c r="D9" s="78" t="s">
        <v>2391</v>
      </c>
      <c r="G9" s="2939" t="s">
        <v>2769</v>
      </c>
      <c r="H9" s="161" t="s">
        <v>1389</v>
      </c>
      <c r="K9" s="2940">
        <v>24000</v>
      </c>
      <c r="N9" s="3831"/>
      <c r="O9" s="3833"/>
      <c r="AA9" s="1788">
        <v>9</v>
      </c>
    </row>
    <row r="10" spans="1:27">
      <c r="A10" s="16" t="s">
        <v>1367</v>
      </c>
      <c r="B10" s="77">
        <v>0.02</v>
      </c>
      <c r="D10" s="78" t="s">
        <v>1641</v>
      </c>
      <c r="G10" s="2941" t="s">
        <v>2772</v>
      </c>
      <c r="H10" s="161" t="s">
        <v>2251</v>
      </c>
      <c r="K10" s="2942"/>
      <c r="N10" s="3843"/>
      <c r="O10" s="3845"/>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88">
        <v>14</v>
      </c>
    </row>
    <row r="15" spans="1:27" ht="13.35" customHeight="1">
      <c r="A15" s="18" t="s">
        <v>2294</v>
      </c>
      <c r="B15" s="19">
        <f>'Part VI-Revenues &amp; Expenses'!$M$50</f>
        <v>348780</v>
      </c>
      <c r="C15" s="19">
        <f t="shared" ref="C15:K15" si="1">$B$15*(1+$B$6)^(C14-1)</f>
        <v>355755.60000000003</v>
      </c>
      <c r="D15" s="19">
        <f t="shared" si="1"/>
        <v>362870.712</v>
      </c>
      <c r="E15" s="19">
        <f t="shared" si="1"/>
        <v>370128.12623999995</v>
      </c>
      <c r="F15" s="19">
        <f t="shared" si="1"/>
        <v>377530.68876479997</v>
      </c>
      <c r="G15" s="19">
        <f t="shared" si="1"/>
        <v>385081.30254009599</v>
      </c>
      <c r="H15" s="19">
        <f t="shared" si="1"/>
        <v>392782.92859089794</v>
      </c>
      <c r="I15" s="19">
        <f t="shared" si="1"/>
        <v>400638.58716271579</v>
      </c>
      <c r="J15" s="19">
        <f t="shared" si="1"/>
        <v>408651.35890597018</v>
      </c>
      <c r="K15" s="20">
        <f t="shared" si="1"/>
        <v>416824.38608408958</v>
      </c>
      <c r="N15" s="3840"/>
      <c r="O15" s="3842"/>
      <c r="S15" s="3935" t="s">
        <v>3561</v>
      </c>
      <c r="Z15" s="2807" t="s">
        <v>6772</v>
      </c>
      <c r="AA15" s="1788">
        <v>15</v>
      </c>
    </row>
    <row r="16" spans="1:27" ht="13.35" customHeight="1">
      <c r="A16" s="21" t="s">
        <v>977</v>
      </c>
      <c r="B16" s="22">
        <f>MIN(B15*B10,'Part VI-Revenues &amp; Expenses'!$H$176)</f>
        <v>6975.6</v>
      </c>
      <c r="C16" s="22">
        <f t="shared" ref="C16:K16" si="2">$B$16*(1+$B$6)^(C14-1)</f>
        <v>7115.1120000000001</v>
      </c>
      <c r="D16" s="22">
        <f t="shared" si="2"/>
        <v>7257.4142400000001</v>
      </c>
      <c r="E16" s="22">
        <f t="shared" si="2"/>
        <v>7402.5625247999997</v>
      </c>
      <c r="F16" s="22">
        <f t="shared" si="2"/>
        <v>7550.6137752960003</v>
      </c>
      <c r="G16" s="22">
        <f t="shared" si="2"/>
        <v>7701.6260508019204</v>
      </c>
      <c r="H16" s="22">
        <f t="shared" si="2"/>
        <v>7855.6585718179595</v>
      </c>
      <c r="I16" s="22">
        <f t="shared" si="2"/>
        <v>8012.7717432543168</v>
      </c>
      <c r="J16" s="22">
        <f t="shared" si="2"/>
        <v>8173.0271781194042</v>
      </c>
      <c r="K16" s="23">
        <f t="shared" si="2"/>
        <v>8336.4877216817913</v>
      </c>
      <c r="N16" s="3831"/>
      <c r="O16" s="3833"/>
      <c r="S16" s="3936"/>
      <c r="Z16" s="2807" t="s">
        <v>6772</v>
      </c>
      <c r="AA16" s="1788">
        <v>16</v>
      </c>
    </row>
    <row r="17" spans="1:27" ht="13.35" customHeight="1">
      <c r="A17" s="21" t="s">
        <v>2295</v>
      </c>
      <c r="B17" s="22">
        <f t="shared" ref="B17:K17" si="3">-(B15+B16)*$B$9</f>
        <v>-24902.892</v>
      </c>
      <c r="C17" s="22">
        <f t="shared" si="3"/>
        <v>-25400.949840000005</v>
      </c>
      <c r="D17" s="22">
        <f t="shared" si="3"/>
        <v>-25908.968836800002</v>
      </c>
      <c r="E17" s="22">
        <f t="shared" si="3"/>
        <v>-26427.148213536002</v>
      </c>
      <c r="F17" s="22">
        <f t="shared" si="3"/>
        <v>-26955.691177806722</v>
      </c>
      <c r="G17" s="22">
        <f t="shared" si="3"/>
        <v>-27494.80500136286</v>
      </c>
      <c r="H17" s="22">
        <f t="shared" si="3"/>
        <v>-28044.701101390117</v>
      </c>
      <c r="I17" s="22">
        <f t="shared" si="3"/>
        <v>-28605.595123417912</v>
      </c>
      <c r="J17" s="22">
        <f t="shared" si="3"/>
        <v>-29177.707025886273</v>
      </c>
      <c r="K17" s="23">
        <f t="shared" si="3"/>
        <v>-29761.261166403998</v>
      </c>
      <c r="N17" s="3831"/>
      <c r="O17" s="3833"/>
      <c r="Q17" s="3938" t="s">
        <v>3438</v>
      </c>
      <c r="R17" s="3938" t="s">
        <v>3560</v>
      </c>
      <c r="S17" s="3936"/>
      <c r="Z17" s="2807"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1"/>
      <c r="O18" s="3833"/>
      <c r="Q18" s="3938"/>
      <c r="R18" s="3938"/>
      <c r="S18" s="3937"/>
      <c r="Z18" s="2807"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1"/>
      <c r="O19" s="3833"/>
      <c r="Z19" s="2807" t="s">
        <v>6772</v>
      </c>
      <c r="AA19" s="1788">
        <v>19</v>
      </c>
    </row>
    <row r="20" spans="1:27" ht="13.35" customHeight="1">
      <c r="A20" s="409" t="s">
        <v>4014</v>
      </c>
      <c r="B20" s="22">
        <f>SUM(B15:B19)</f>
        <v>330852.70799999998</v>
      </c>
      <c r="C20" s="22">
        <f t="shared" ref="C20:K20" si="4">SUM(C15:C19)</f>
        <v>337469.76216000004</v>
      </c>
      <c r="D20" s="22">
        <f t="shared" si="4"/>
        <v>344219.15740319999</v>
      </c>
      <c r="E20" s="22">
        <f t="shared" si="4"/>
        <v>351103.54055126396</v>
      </c>
      <c r="F20" s="22">
        <f t="shared" si="4"/>
        <v>358125.61136228929</v>
      </c>
      <c r="G20" s="22">
        <f t="shared" si="4"/>
        <v>365288.12358953507</v>
      </c>
      <c r="H20" s="22">
        <f t="shared" si="4"/>
        <v>372593.88606132579</v>
      </c>
      <c r="I20" s="22">
        <f t="shared" si="4"/>
        <v>380045.76378255221</v>
      </c>
      <c r="J20" s="22">
        <f t="shared" si="4"/>
        <v>387646.6790582033</v>
      </c>
      <c r="K20" s="23">
        <f t="shared" si="4"/>
        <v>395399.61263936735</v>
      </c>
      <c r="N20" s="3831"/>
      <c r="O20" s="3833"/>
      <c r="Z20" s="2807" t="s">
        <v>6772</v>
      </c>
      <c r="AA20" s="1787">
        <v>20</v>
      </c>
    </row>
    <row r="21" spans="1:27" ht="13.35" customHeight="1">
      <c r="A21" s="21" t="s">
        <v>585</v>
      </c>
      <c r="B21" s="22">
        <f>-('Part VI-Revenues &amp; Expenses'!$Q$225-'Part VI-Revenues &amp; Expenses'!$Q$217)</f>
        <v>-225488</v>
      </c>
      <c r="C21" s="22">
        <f t="shared" ref="C21:K21" si="5">$B$21*(1+$B$7)^(C14-1)</f>
        <v>-232252.64</v>
      </c>
      <c r="D21" s="22">
        <f t="shared" si="5"/>
        <v>-239220.21919999999</v>
      </c>
      <c r="E21" s="22">
        <f t="shared" si="5"/>
        <v>-246396.82577600001</v>
      </c>
      <c r="F21" s="22">
        <f t="shared" si="5"/>
        <v>-253788.73054927998</v>
      </c>
      <c r="G21" s="22">
        <f t="shared" si="5"/>
        <v>-261402.39246575837</v>
      </c>
      <c r="H21" s="22">
        <f t="shared" si="5"/>
        <v>-269244.46423973114</v>
      </c>
      <c r="I21" s="22">
        <f t="shared" si="5"/>
        <v>-277321.79816692311</v>
      </c>
      <c r="J21" s="22">
        <f t="shared" si="5"/>
        <v>-285641.45211193076</v>
      </c>
      <c r="K21" s="23">
        <f t="shared" si="5"/>
        <v>-294210.69567528868</v>
      </c>
      <c r="N21" s="3831"/>
      <c r="O21" s="3833"/>
      <c r="Q21" s="62">
        <v>1</v>
      </c>
      <c r="R21" s="945">
        <f>-B32</f>
        <v>1715</v>
      </c>
      <c r="S21" s="945">
        <f>B33+R21</f>
        <v>61364.707999999984</v>
      </c>
      <c r="Z21" s="2807"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-24000</v>
      </c>
      <c r="C22" s="22">
        <f>IF(AND('Part VII-Pro Forma'!$G$9="Yes",'Part VII-Pro Forma'!$G$10="Yes"),"Choose One!",IF('Part VII-Pro Forma'!$G$9="Yes",ROUND((-$K$9*(1+'Part VII-Pro Forma'!$B$7)^('Part VII-Pro Forma'!C14-1)),),IF('Part VII-Pro Forma'!$G$10="Yes",ROUND((-(SUM(C15:C18)*'Part VII-Pro Forma'!$K$10)),),"Choose mgt fee")))</f>
        <v>-24720</v>
      </c>
      <c r="D22" s="22">
        <f>IF(AND('Part VII-Pro Forma'!$G$9="Yes",'Part VII-Pro Forma'!$G$10="Yes"),"Choose One!",IF('Part VII-Pro Forma'!$G$9="Yes",ROUND((-$K$9*(1+'Part VII-Pro Forma'!$B$7)^('Part VII-Pro Forma'!D14-1)),),IF('Part VII-Pro Forma'!$G$10="Yes",ROUND((-(SUM(D15:D18)*'Part VII-Pro Forma'!$K$10)),),"Choose mgt fee")))</f>
        <v>-25462</v>
      </c>
      <c r="E22" s="22">
        <f>IF(AND('Part VII-Pro Forma'!$G$9="Yes",'Part VII-Pro Forma'!$G$10="Yes"),"Choose One!",IF('Part VII-Pro Forma'!$G$9="Yes",ROUND((-$K$9*(1+'Part VII-Pro Forma'!$B$7)^('Part VII-Pro Forma'!E14-1)),),IF('Part VII-Pro Forma'!$G$10="Yes",ROUND((-(SUM(E15:E18)*'Part VII-Pro Forma'!$K$10)),),"Choose mgt fee")))</f>
        <v>-26225</v>
      </c>
      <c r="F22" s="22">
        <f>IF(AND('Part VII-Pro Forma'!$G$9="Yes",'Part VII-Pro Forma'!$G$10="Yes"),"Choose One!",IF('Part VII-Pro Forma'!$G$9="Yes",ROUND((-$K$9*(1+'Part VII-Pro Forma'!$B$7)^('Part VII-Pro Forma'!F14-1)),),IF('Part VII-Pro Forma'!$G$10="Yes",ROUND((-(SUM(F15:F18)*'Part VII-Pro Forma'!$K$10)),),"Choose mgt fee")))</f>
        <v>-27012</v>
      </c>
      <c r="G22" s="22">
        <f>IF(AND('Part VII-Pro Forma'!$G$9="Yes",'Part VII-Pro Forma'!$G$10="Yes"),"Choose One!",IF('Part VII-Pro Forma'!$G$9="Yes",ROUND((-$K$9*(1+'Part VII-Pro Forma'!$B$7)^('Part VII-Pro Forma'!G14-1)),),IF('Part VII-Pro Forma'!$G$10="Yes",ROUND((-(SUM(G15:G18)*'Part VII-Pro Forma'!$K$10)),),"Choose mgt fee")))</f>
        <v>-27823</v>
      </c>
      <c r="H22" s="22">
        <f>IF(AND('Part VII-Pro Forma'!$G$9="Yes",'Part VII-Pro Forma'!$G$10="Yes"),"Choose One!",IF('Part VII-Pro Forma'!$G$9="Yes",ROUND((-$K$9*(1+'Part VII-Pro Forma'!$B$7)^('Part VII-Pro Forma'!H14-1)),),IF('Part VII-Pro Forma'!$G$10="Yes",ROUND((-(SUM(H15:H18)*'Part VII-Pro Forma'!$K$10)),),"Choose mgt fee")))</f>
        <v>-28657</v>
      </c>
      <c r="I22" s="22">
        <f>IF(AND('Part VII-Pro Forma'!$G$9="Yes",'Part VII-Pro Forma'!$G$10="Yes"),"Choose One!",IF('Part VII-Pro Forma'!$G$9="Yes",ROUND((-$K$9*(1+'Part VII-Pro Forma'!$B$7)^('Part VII-Pro Forma'!I14-1)),),IF('Part VII-Pro Forma'!$G$10="Yes",ROUND((-(SUM(I15:I18)*'Part VII-Pro Forma'!$K$10)),),"Choose mgt fee")))</f>
        <v>-29517</v>
      </c>
      <c r="J22" s="22">
        <f>IF(AND('Part VII-Pro Forma'!$G$9="Yes",'Part VII-Pro Forma'!$G$10="Yes"),"Choose One!",IF('Part VII-Pro Forma'!$G$9="Yes",ROUND((-$K$9*(1+'Part VII-Pro Forma'!$B$7)^('Part VII-Pro Forma'!J14-1)),),IF('Part VII-Pro Forma'!$G$10="Yes",ROUND((-(SUM(J15:J18)*'Part VII-Pro Forma'!$K$10)),),"Choose mgt fee")))</f>
        <v>-30402</v>
      </c>
      <c r="K22" s="23">
        <f>IF(AND('Part VII-Pro Forma'!$G$9="Yes",'Part VII-Pro Forma'!$G$10="Yes"),"Choose One!",IF('Part VII-Pro Forma'!$G$9="Yes",ROUND((-$K$9*(1+'Part VII-Pro Forma'!$B$7)^('Part VII-Pro Forma'!K14-1)),),IF('Part VII-Pro Forma'!$G$10="Yes",ROUND((-(SUM(K15:K18)*'Part VII-Pro Forma'!$K$10)),),"Choose mgt fee")))</f>
        <v>-31315</v>
      </c>
      <c r="N22" s="3831"/>
      <c r="O22" s="3833"/>
      <c r="Q22" s="62">
        <v>2</v>
      </c>
      <c r="R22" s="945">
        <f>-SUM(B32:C32)</f>
        <v>1715</v>
      </c>
      <c r="S22" s="945">
        <f>SUM(B33:C33)+R22</f>
        <v>121486.83016000001</v>
      </c>
      <c r="Z22" s="2807" t="s">
        <v>6772</v>
      </c>
      <c r="AA22" s="1788">
        <v>22</v>
      </c>
    </row>
    <row r="23" spans="1:27" ht="13.35" customHeight="1">
      <c r="A23" s="21" t="s">
        <v>1156</v>
      </c>
      <c r="B23" s="22">
        <f>-('Part VI-Revenues &amp; Expenses'!$Q$231)</f>
        <v>-12500</v>
      </c>
      <c r="C23" s="22">
        <f t="shared" ref="C23:K23" si="6">$B$23*(1+$B$8)^(C14-1)</f>
        <v>-12875</v>
      </c>
      <c r="D23" s="22">
        <f t="shared" si="6"/>
        <v>-13261.25</v>
      </c>
      <c r="E23" s="22">
        <f t="shared" si="6"/>
        <v>-13659.0875</v>
      </c>
      <c r="F23" s="22">
        <f t="shared" si="6"/>
        <v>-14068.860124999999</v>
      </c>
      <c r="G23" s="22">
        <f t="shared" si="6"/>
        <v>-14490.925928749997</v>
      </c>
      <c r="H23" s="22">
        <f t="shared" si="6"/>
        <v>-14925.653706612498</v>
      </c>
      <c r="I23" s="22">
        <f t="shared" si="6"/>
        <v>-15373.423317810875</v>
      </c>
      <c r="J23" s="22">
        <f t="shared" si="6"/>
        <v>-15834.626017345199</v>
      </c>
      <c r="K23" s="23">
        <f t="shared" si="6"/>
        <v>-16309.664797865556</v>
      </c>
      <c r="N23" s="3831"/>
      <c r="O23" s="3833"/>
      <c r="Q23" s="62">
        <v>3</v>
      </c>
      <c r="R23" s="945">
        <f>-SUM(B32:D32)</f>
        <v>1715</v>
      </c>
      <c r="S23" s="945">
        <f>SUM(B33:D33)+R23</f>
        <v>180262.51836320001</v>
      </c>
      <c r="Z23" s="2807" t="s">
        <v>6772</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1"/>
      <c r="O24" s="3833"/>
      <c r="Q24" s="847">
        <v>4</v>
      </c>
      <c r="R24" s="945">
        <f>-SUM(B32:E32)</f>
        <v>1715</v>
      </c>
      <c r="S24" s="945">
        <f>SUM(B33:E33)+R24</f>
        <v>237585.14563846396</v>
      </c>
      <c r="Z24" s="2807" t="s">
        <v>6772</v>
      </c>
      <c r="AA24" s="1788">
        <v>24</v>
      </c>
    </row>
    <row r="25" spans="1:27" ht="13.35" customHeight="1">
      <c r="A25" s="21" t="s">
        <v>1157</v>
      </c>
      <c r="B25" s="22">
        <f>SUM(B20:B24)</f>
        <v>68864.707999999984</v>
      </c>
      <c r="C25" s="22">
        <f t="shared" ref="C25:J25" si="7">SUM(C20:C24)</f>
        <v>67622.122160000028</v>
      </c>
      <c r="D25" s="22">
        <f t="shared" si="7"/>
        <v>66275.688203199999</v>
      </c>
      <c r="E25" s="22">
        <f t="shared" si="7"/>
        <v>64822.627275263942</v>
      </c>
      <c r="F25" s="22">
        <f t="shared" si="7"/>
        <v>63256.02068800931</v>
      </c>
      <c r="G25" s="22">
        <f t="shared" si="7"/>
        <v>61571.805195026704</v>
      </c>
      <c r="H25" s="22">
        <f t="shared" si="7"/>
        <v>59766.768114982144</v>
      </c>
      <c r="I25" s="22">
        <f t="shared" si="7"/>
        <v>57833.542297818225</v>
      </c>
      <c r="J25" s="22">
        <f t="shared" si="7"/>
        <v>55768.600928927335</v>
      </c>
      <c r="K25" s="1299">
        <f>SUM(K20:K24)</f>
        <v>53564.252166213118</v>
      </c>
      <c r="N25" s="3831"/>
      <c r="O25" s="3833"/>
      <c r="Q25" s="847">
        <v>5</v>
      </c>
      <c r="R25" s="945">
        <f>-SUM(B32:F32)</f>
        <v>1715</v>
      </c>
      <c r="S25" s="945">
        <f>SUM(B33:F33)+R25</f>
        <v>293341.16632647329</v>
      </c>
      <c r="Z25" s="2807" t="s">
        <v>6772</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31"/>
      <c r="O26" s="3833"/>
      <c r="Q26" s="847">
        <v>6</v>
      </c>
      <c r="R26" s="945">
        <f>-SUM(B32:G32)</f>
        <v>1715</v>
      </c>
      <c r="S26" s="945">
        <f>SUM(B33:G33)+R26</f>
        <v>347412.97152149997</v>
      </c>
      <c r="Z26" s="2807" t="s">
        <v>6772</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1"/>
      <c r="O27" s="3833"/>
      <c r="Q27" s="847">
        <v>7</v>
      </c>
      <c r="R27" s="945">
        <f>-SUM(B32:H32)</f>
        <v>1715</v>
      </c>
      <c r="S27" s="945">
        <f>SUM(B33:H33)+R27</f>
        <v>399679.73963648209</v>
      </c>
      <c r="Z27" s="2807" t="s">
        <v>6772</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1"/>
      <c r="O28" s="3833"/>
      <c r="Q28" s="847">
        <v>8</v>
      </c>
      <c r="R28" s="945">
        <f>-SUM(B32:I32)</f>
        <v>1715</v>
      </c>
      <c r="S28" s="945">
        <f>SUM(B33:I33)+R28</f>
        <v>450013.28193430032</v>
      </c>
      <c r="Z28" s="2807" t="s">
        <v>6772</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1"/>
      <c r="O29" s="3833"/>
      <c r="Q29" s="847">
        <v>9</v>
      </c>
      <c r="R29" s="945">
        <f>-SUM(B32:J32)</f>
        <v>1715</v>
      </c>
      <c r="S29" s="945">
        <f>SUM(B33:J33)+R29</f>
        <v>498281.88286322763</v>
      </c>
      <c r="Z29" s="2807" t="s">
        <v>6772</v>
      </c>
      <c r="AA29" s="1788">
        <v>29</v>
      </c>
    </row>
    <row r="30" spans="1:27" ht="13.35" customHeight="1">
      <c r="A30" s="21" t="s">
        <v>733</v>
      </c>
      <c r="B30" s="2946"/>
      <c r="C30" s="2946"/>
      <c r="D30" s="2946"/>
      <c r="E30" s="2946"/>
      <c r="F30" s="2946"/>
      <c r="G30" s="2946"/>
      <c r="H30" s="2946"/>
      <c r="I30" s="2946"/>
      <c r="J30" s="2946"/>
      <c r="K30" s="2946"/>
      <c r="N30" s="3831"/>
      <c r="O30" s="3833"/>
      <c r="Q30" s="847">
        <v>10</v>
      </c>
      <c r="R30" s="945">
        <f>-SUM(B32:K32)</f>
        <v>1715</v>
      </c>
      <c r="S30" s="945">
        <f>SUM(B33:K33)+R30</f>
        <v>544346.13502944075</v>
      </c>
      <c r="Z30" s="2807" t="s">
        <v>6772</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31"/>
      <c r="O31" s="3833"/>
      <c r="Q31" s="847">
        <v>11</v>
      </c>
      <c r="R31" s="945">
        <f>-SUM(B32:K32)-B64</f>
        <v>1715</v>
      </c>
      <c r="S31" s="945">
        <f>SUM(B33:K33)+B65+R31</f>
        <v>588063.76863424666</v>
      </c>
      <c r="Z31" s="2807" t="s">
        <v>6772</v>
      </c>
      <c r="AA31" s="1788">
        <v>31</v>
      </c>
    </row>
    <row r="32" spans="1:27" ht="13.35" customHeight="1">
      <c r="A32" s="409" t="s">
        <v>3509</v>
      </c>
      <c r="B32" s="2948">
        <v>-1715</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1"/>
      <c r="O32" s="3833"/>
      <c r="Q32" s="847">
        <v>12</v>
      </c>
      <c r="R32" s="945">
        <f>-SUM(B32:K32) - SUM(B64:C64)</f>
        <v>1715</v>
      </c>
      <c r="S32" s="945">
        <f>SUM(B33:K33) + SUM(B65:C65)+R32</f>
        <v>629284.47519827506</v>
      </c>
      <c r="Z32" s="2807" t="s">
        <v>6772</v>
      </c>
      <c r="AA32" s="1788">
        <v>32</v>
      </c>
    </row>
    <row r="33" spans="1:27" ht="13.35" customHeight="1">
      <c r="A33" s="21" t="s">
        <v>1122</v>
      </c>
      <c r="B33" s="22">
        <f t="shared" ref="B33:K33" si="9">SUM(B25:B32)</f>
        <v>59649.707999999984</v>
      </c>
      <c r="C33" s="22">
        <f t="shared" si="9"/>
        <v>60122.122160000028</v>
      </c>
      <c r="D33" s="22">
        <f t="shared" si="9"/>
        <v>58775.688203199999</v>
      </c>
      <c r="E33" s="22">
        <f t="shared" si="9"/>
        <v>57322.627275263942</v>
      </c>
      <c r="F33" s="22">
        <f t="shared" si="9"/>
        <v>55756.02068800931</v>
      </c>
      <c r="G33" s="22">
        <f t="shared" si="9"/>
        <v>54071.805195026704</v>
      </c>
      <c r="H33" s="22">
        <f t="shared" si="9"/>
        <v>52266.768114982144</v>
      </c>
      <c r="I33" s="22">
        <f t="shared" si="9"/>
        <v>50333.542297818225</v>
      </c>
      <c r="J33" s="22">
        <f t="shared" si="9"/>
        <v>48268.600928927335</v>
      </c>
      <c r="K33" s="23">
        <f t="shared" si="9"/>
        <v>46064.252166213118</v>
      </c>
      <c r="N33" s="3831"/>
      <c r="O33" s="3833"/>
      <c r="Q33" s="847">
        <v>13</v>
      </c>
      <c r="R33" s="945">
        <f>-SUM(B32:K32) - SUM(B64:D64)</f>
        <v>1715</v>
      </c>
      <c r="S33" s="945">
        <f>SUM(B33:K33) + SUM(B65:D65)+R33</f>
        <v>667853.72538932448</v>
      </c>
      <c r="Z33" s="2807" t="s">
        <v>6772</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1"/>
      <c r="O34" s="3833"/>
      <c r="Q34" s="847">
        <v>14</v>
      </c>
      <c r="R34" s="945">
        <f>-SUM(B32:K32) - SUM(B64:E64)</f>
        <v>1715</v>
      </c>
      <c r="S34" s="945">
        <f>SUM(B33:K33) + SUM(B65:E65)+R34</f>
        <v>703608.5807648073</v>
      </c>
      <c r="Z34" s="2807" t="s">
        <v>6772</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1"/>
      <c r="O35" s="3833"/>
      <c r="Q35" s="847">
        <v>15</v>
      </c>
      <c r="R35" s="945">
        <f>-SUM(B32:K32) - SUM(B64:F64)</f>
        <v>1715</v>
      </c>
      <c r="S35" s="945">
        <f>SUM(B33:K33) + SUM(B65:F65)+R35</f>
        <v>736381.49923383084</v>
      </c>
      <c r="Z35" s="2807" t="s">
        <v>6772</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1"/>
      <c r="O36" s="3833"/>
      <c r="Q36" s="62">
        <v>16</v>
      </c>
      <c r="R36" s="945">
        <f>-SUM(B32:K32) - SUM(B64:G64)</f>
        <v>1715</v>
      </c>
      <c r="S36" s="945">
        <f>SUM(B33:K33) + SUM(B65:G65)+R36</f>
        <v>765997.13403784647</v>
      </c>
      <c r="Z36" s="2807" t="s">
        <v>6772</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1"/>
      <c r="O37" s="3833"/>
      <c r="Q37" s="62">
        <v>17</v>
      </c>
      <c r="R37" s="945">
        <f>-SUM(B32:K32) - SUM(B64:H64)</f>
        <v>1715</v>
      </c>
      <c r="S37" s="945">
        <f>SUM(B33:K33) + SUM(B65:H65)+R37</f>
        <v>792273.12604252272</v>
      </c>
      <c r="Z37" s="2807" t="s">
        <v>6772</v>
      </c>
      <c r="AA37" s="1788">
        <v>37</v>
      </c>
    </row>
    <row r="38" spans="1:27" ht="13.35" customHeight="1">
      <c r="A38" s="409" t="s">
        <v>3344</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1"/>
      <c r="O38" s="3833"/>
      <c r="Q38" s="62">
        <v>18</v>
      </c>
      <c r="R38" s="945">
        <f>-SUM(B32:K32) - SUM(B64:I64)</f>
        <v>1715</v>
      </c>
      <c r="S38" s="945">
        <f>SUM(B33:K33) + SUM(B65:I65)+R38</f>
        <v>815020.88912701001</v>
      </c>
      <c r="Z38" s="2807" t="s">
        <v>6772</v>
      </c>
      <c r="AA38" s="1788">
        <v>38</v>
      </c>
    </row>
    <row r="39" spans="1:27" ht="13.35" customHeight="1">
      <c r="A39" s="21" t="s">
        <v>740</v>
      </c>
      <c r="B39" s="263">
        <f t="shared" ref="B39:K39" si="15">IF(OR(B22="Choose mgt fee",B22="Choose One!"),"",(B15+B16+B17+B18+B19) / -(B21+B22+B23))</f>
        <v>1.2628544360810419</v>
      </c>
      <c r="C39" s="263">
        <f t="shared" si="15"/>
        <v>1.2505937134006435</v>
      </c>
      <c r="D39" s="263">
        <f t="shared" si="15"/>
        <v>1.2384502445549816</v>
      </c>
      <c r="E39" s="263">
        <f t="shared" si="15"/>
        <v>1.22643014000996</v>
      </c>
      <c r="F39" s="263">
        <f t="shared" si="15"/>
        <v>1.2145220215599766</v>
      </c>
      <c r="G39" s="263">
        <f t="shared" si="15"/>
        <v>1.2027280111931582</v>
      </c>
      <c r="H39" s="263">
        <f t="shared" si="15"/>
        <v>1.191053667301418</v>
      </c>
      <c r="I39" s="263">
        <f t="shared" si="15"/>
        <v>1.1794889778895563</v>
      </c>
      <c r="J39" s="263">
        <f t="shared" si="15"/>
        <v>1.1680394235234901</v>
      </c>
      <c r="K39" s="264">
        <f t="shared" si="15"/>
        <v>1.1566960541825506</v>
      </c>
      <c r="N39" s="3831"/>
      <c r="O39" s="3833"/>
      <c r="Q39" s="847">
        <v>19</v>
      </c>
      <c r="R39" s="945">
        <f>-SUM(B32:K32) - SUM(B64:J64)</f>
        <v>1715</v>
      </c>
      <c r="S39" s="945">
        <f>SUM(B33:K33) + SUM(B65:J65)+R39</f>
        <v>834043.38845009624</v>
      </c>
      <c r="Z39" s="2807" t="s">
        <v>6772</v>
      </c>
      <c r="AA39" s="1788">
        <v>39</v>
      </c>
    </row>
    <row r="40" spans="1:27" ht="13.35" customHeight="1">
      <c r="A40" s="409" t="s">
        <v>2493</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31"/>
      <c r="O40" s="3833"/>
      <c r="Q40" s="847">
        <v>20</v>
      </c>
      <c r="R40" s="945">
        <f>-SUM(B32:K32) - SUM(B64:K64)</f>
        <v>1715</v>
      </c>
      <c r="S40" s="945">
        <f>SUM(B33:K33) + SUM(B65:K65)+R40</f>
        <v>849135.91136586049</v>
      </c>
      <c r="Z40" s="2807" t="s">
        <v>6772</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1"/>
      <c r="O41" s="3833"/>
      <c r="Z41" s="2807" t="s">
        <v>6772</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1"/>
      <c r="O42" s="3833"/>
      <c r="Z42" s="2807" t="s">
        <v>6772</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1"/>
      <c r="O43" s="3833"/>
      <c r="Z43" s="2807" t="s">
        <v>6772</v>
      </c>
      <c r="AA43" s="1787">
        <v>43</v>
      </c>
    </row>
    <row r="44" spans="1:27" ht="13.35" customHeight="1">
      <c r="A44" s="409" t="s">
        <v>3510</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3"/>
      <c r="O44" s="3845"/>
      <c r="Z44" s="2807"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2497</v>
      </c>
      <c r="O46" s="3479"/>
      <c r="AA46" s="1788">
        <v>46</v>
      </c>
    </row>
    <row r="47" spans="1:27" ht="13.35" customHeight="1">
      <c r="A47" s="18" t="s">
        <v>2294</v>
      </c>
      <c r="B47" s="19">
        <f t="shared" ref="B47:K47" si="17">$B$15*(1+$B$6)^(B46-1)</f>
        <v>425160.87380577141</v>
      </c>
      <c r="C47" s="19">
        <f t="shared" si="17"/>
        <v>433664.09128188674</v>
      </c>
      <c r="D47" s="19">
        <f t="shared" si="17"/>
        <v>442337.37310752453</v>
      </c>
      <c r="E47" s="19">
        <f t="shared" si="17"/>
        <v>451184.120569675</v>
      </c>
      <c r="F47" s="19">
        <f t="shared" si="17"/>
        <v>460207.80298106855</v>
      </c>
      <c r="G47" s="19">
        <f t="shared" si="17"/>
        <v>469411.95904068981</v>
      </c>
      <c r="H47" s="19">
        <f t="shared" si="17"/>
        <v>478800.19822150364</v>
      </c>
      <c r="I47" s="19">
        <f t="shared" si="17"/>
        <v>488376.20218593377</v>
      </c>
      <c r="J47" s="19">
        <f t="shared" si="17"/>
        <v>498143.72622965241</v>
      </c>
      <c r="K47" s="20">
        <f t="shared" si="17"/>
        <v>508106.60075424542</v>
      </c>
      <c r="N47" s="3840"/>
      <c r="O47" s="3842"/>
      <c r="Z47" s="2807" t="s">
        <v>6773</v>
      </c>
      <c r="AA47" s="1788">
        <v>47</v>
      </c>
    </row>
    <row r="48" spans="1:27" ht="13.35" customHeight="1">
      <c r="A48" s="21" t="s">
        <v>977</v>
      </c>
      <c r="B48" s="22">
        <f t="shared" ref="B48:K48" si="18">$B$16*(1+$B$6)^(B46-1)</f>
        <v>8503.2174761154274</v>
      </c>
      <c r="C48" s="22">
        <f t="shared" si="18"/>
        <v>8673.2818256377359</v>
      </c>
      <c r="D48" s="22">
        <f t="shared" si="18"/>
        <v>8846.7474621504916</v>
      </c>
      <c r="E48" s="22">
        <f t="shared" si="18"/>
        <v>9023.6824113934999</v>
      </c>
      <c r="F48" s="22">
        <f t="shared" si="18"/>
        <v>9204.1560596213712</v>
      </c>
      <c r="G48" s="22">
        <f t="shared" si="18"/>
        <v>9388.2391808137963</v>
      </c>
      <c r="H48" s="22">
        <f t="shared" si="18"/>
        <v>9576.0039644300741</v>
      </c>
      <c r="I48" s="22">
        <f t="shared" si="18"/>
        <v>9767.5240437186767</v>
      </c>
      <c r="J48" s="22">
        <f t="shared" si="18"/>
        <v>9962.8745245930477</v>
      </c>
      <c r="K48" s="23">
        <f t="shared" si="18"/>
        <v>10162.13201508491</v>
      </c>
      <c r="N48" s="3831"/>
      <c r="O48" s="3833"/>
      <c r="Z48" s="2807" t="s">
        <v>6773</v>
      </c>
      <c r="AA48" s="1787">
        <v>48</v>
      </c>
    </row>
    <row r="49" spans="1:27" ht="13.35" customHeight="1">
      <c r="A49" s="21" t="s">
        <v>2295</v>
      </c>
      <c r="B49" s="22">
        <f t="shared" ref="B49:K49" si="19">-(B47+B48)*$B$9</f>
        <v>-30356.486389732083</v>
      </c>
      <c r="C49" s="22">
        <f t="shared" si="19"/>
        <v>-30963.616117526715</v>
      </c>
      <c r="D49" s="22">
        <f t="shared" si="19"/>
        <v>-31582.888439877253</v>
      </c>
      <c r="E49" s="22">
        <f t="shared" si="19"/>
        <v>-32214.546208674798</v>
      </c>
      <c r="F49" s="22">
        <f t="shared" si="19"/>
        <v>-32858.837132848297</v>
      </c>
      <c r="G49" s="22">
        <f t="shared" si="19"/>
        <v>-33516.013875505254</v>
      </c>
      <c r="H49" s="22">
        <f t="shared" si="19"/>
        <v>-34186.334153015363</v>
      </c>
      <c r="I49" s="22">
        <f t="shared" si="19"/>
        <v>-34870.060836075674</v>
      </c>
      <c r="J49" s="22">
        <f t="shared" si="19"/>
        <v>-35567.462052797186</v>
      </c>
      <c r="K49" s="23">
        <f t="shared" si="19"/>
        <v>-36278.811293853127</v>
      </c>
      <c r="N49" s="3831"/>
      <c r="O49" s="3833"/>
      <c r="Z49" s="2807"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1"/>
      <c r="O50" s="3833"/>
      <c r="Z50" s="2807"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1"/>
      <c r="O51" s="3833"/>
      <c r="Z51" s="2807" t="s">
        <v>6773</v>
      </c>
      <c r="AA51" s="1787">
        <v>51</v>
      </c>
    </row>
    <row r="52" spans="1:27" ht="13.35" customHeight="1">
      <c r="A52" s="409" t="s">
        <v>4014</v>
      </c>
      <c r="B52" s="22">
        <f t="shared" ref="B52:K52" si="20">SUM(B47:B51)</f>
        <v>403307.60489215475</v>
      </c>
      <c r="C52" s="22">
        <f t="shared" si="20"/>
        <v>411373.75698999775</v>
      </c>
      <c r="D52" s="22">
        <f t="shared" si="20"/>
        <v>419601.23212979775</v>
      </c>
      <c r="E52" s="22">
        <f t="shared" si="20"/>
        <v>427993.25677239371</v>
      </c>
      <c r="F52" s="22">
        <f t="shared" si="20"/>
        <v>436553.12190784165</v>
      </c>
      <c r="G52" s="22">
        <f t="shared" si="20"/>
        <v>445284.18434599834</v>
      </c>
      <c r="H52" s="22">
        <f t="shared" si="20"/>
        <v>454189.86803291837</v>
      </c>
      <c r="I52" s="22">
        <f t="shared" si="20"/>
        <v>463273.66539357678</v>
      </c>
      <c r="J52" s="22">
        <f t="shared" si="20"/>
        <v>472539.13870144828</v>
      </c>
      <c r="K52" s="23">
        <f t="shared" si="20"/>
        <v>481989.92147547717</v>
      </c>
      <c r="N52" s="3831"/>
      <c r="O52" s="3833"/>
      <c r="Z52" s="2807" t="s">
        <v>6773</v>
      </c>
      <c r="AA52" s="1788">
        <v>52</v>
      </c>
    </row>
    <row r="53" spans="1:27" ht="13.35" customHeight="1">
      <c r="A53" s="21" t="s">
        <v>585</v>
      </c>
      <c r="B53" s="22">
        <f t="shared" ref="B53:K53" si="21">$B$21*(1+$B$7)^(B46-1)</f>
        <v>-303037.01654554735</v>
      </c>
      <c r="C53" s="22">
        <f t="shared" si="21"/>
        <v>-312128.12704191374</v>
      </c>
      <c r="D53" s="22">
        <f t="shared" si="21"/>
        <v>-321491.97085317114</v>
      </c>
      <c r="E53" s="22">
        <f t="shared" si="21"/>
        <v>-331136.72997876623</v>
      </c>
      <c r="F53" s="22">
        <f t="shared" si="21"/>
        <v>-341070.83187812928</v>
      </c>
      <c r="G53" s="22">
        <f t="shared" si="21"/>
        <v>-351302.95683447318</v>
      </c>
      <c r="H53" s="22">
        <f t="shared" si="21"/>
        <v>-361842.04553950729</v>
      </c>
      <c r="I53" s="22">
        <f t="shared" si="21"/>
        <v>-372697.3069056925</v>
      </c>
      <c r="J53" s="22">
        <f t="shared" si="21"/>
        <v>-383878.22611286328</v>
      </c>
      <c r="K53" s="23">
        <f t="shared" si="21"/>
        <v>-395394.57289624918</v>
      </c>
      <c r="N53" s="3831"/>
      <c r="O53" s="3833"/>
      <c r="Z53" s="2807"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-32254</v>
      </c>
      <c r="C54" s="22">
        <f>IF(AND('Part VII-Pro Forma'!$G$9="Yes",'Part VII-Pro Forma'!$G$10="Yes"),"Choose One!",IF('Part VII-Pro Forma'!$G$9="Yes",ROUND((-$K$9*(1+'Part VII-Pro Forma'!$B$7)^('Part VII-Pro Forma'!C46-1)),),IF('Part VII-Pro Forma'!$G$10="Yes",ROUND((-(SUM(C47:C50)*'Part VII-Pro Forma'!$K$10)),),"Choose mgt fee")))</f>
        <v>-33222</v>
      </c>
      <c r="D54" s="22">
        <f>IF(AND('Part VII-Pro Forma'!$G$9="Yes",'Part VII-Pro Forma'!$G$10="Yes"),"Choose One!",IF('Part VII-Pro Forma'!$G$9="Yes",ROUND((-$K$9*(1+'Part VII-Pro Forma'!$B$7)^('Part VII-Pro Forma'!D46-1)),),IF('Part VII-Pro Forma'!$G$10="Yes",ROUND((-(SUM(D47:D50)*'Part VII-Pro Forma'!$K$10)),),"Choose mgt fee")))</f>
        <v>-34218</v>
      </c>
      <c r="E54" s="22">
        <f>IF(AND('Part VII-Pro Forma'!$G$9="Yes",'Part VII-Pro Forma'!$G$10="Yes"),"Choose One!",IF('Part VII-Pro Forma'!$G$9="Yes",ROUND((-$K$9*(1+'Part VII-Pro Forma'!$B$7)^('Part VII-Pro Forma'!E46-1)),),IF('Part VII-Pro Forma'!$G$10="Yes",ROUND((-(SUM(E47:E50)*'Part VII-Pro Forma'!$K$10)),),"Choose mgt fee")))</f>
        <v>-35245</v>
      </c>
      <c r="F54" s="22">
        <f>IF(AND('Part VII-Pro Forma'!$G$9="Yes",'Part VII-Pro Forma'!$G$10="Yes"),"Choose One!",IF('Part VII-Pro Forma'!$G$9="Yes",ROUND((-$K$9*(1+'Part VII-Pro Forma'!$B$7)^('Part VII-Pro Forma'!F46-1)),),IF('Part VII-Pro Forma'!$G$10="Yes",ROUND((-(SUM(F47:F50)*'Part VII-Pro Forma'!$K$10)),),"Choose mgt fee")))</f>
        <v>-36302</v>
      </c>
      <c r="G54" s="22">
        <f>IF(AND('Part VII-Pro Forma'!$G$9="Yes",'Part VII-Pro Forma'!$G$10="Yes"),"Choose One!",IF('Part VII-Pro Forma'!$G$9="Yes",ROUND((-$K$9*(1+'Part VII-Pro Forma'!$B$7)^('Part VII-Pro Forma'!G46-1)),),IF('Part VII-Pro Forma'!$G$10="Yes",ROUND((-(SUM(G47:G50)*'Part VII-Pro Forma'!$K$10)),),"Choose mgt fee")))</f>
        <v>-37391</v>
      </c>
      <c r="H54" s="22">
        <f>IF(AND('Part VII-Pro Forma'!$G$9="Yes",'Part VII-Pro Forma'!$G$10="Yes"),"Choose One!",IF('Part VII-Pro Forma'!$G$9="Yes",ROUND((-$K$9*(1+'Part VII-Pro Forma'!$B$7)^('Part VII-Pro Forma'!H46-1)),),IF('Part VII-Pro Forma'!$G$10="Yes",ROUND((-(SUM(H47:H50)*'Part VII-Pro Forma'!$K$10)),),"Choose mgt fee")))</f>
        <v>-38513</v>
      </c>
      <c r="I54" s="22">
        <f>IF(AND('Part VII-Pro Forma'!$G$9="Yes",'Part VII-Pro Forma'!$G$10="Yes"),"Choose One!",IF('Part VII-Pro Forma'!$G$9="Yes",ROUND((-$K$9*(1+'Part VII-Pro Forma'!$B$7)^('Part VII-Pro Forma'!I46-1)),),IF('Part VII-Pro Forma'!$G$10="Yes",ROUND((-(SUM(I47:I50)*'Part VII-Pro Forma'!$K$10)),),"Choose mgt fee")))</f>
        <v>-39668</v>
      </c>
      <c r="J54" s="22">
        <f>IF(AND('Part VII-Pro Forma'!$G$9="Yes",'Part VII-Pro Forma'!$G$10="Yes"),"Choose One!",IF('Part VII-Pro Forma'!$G$9="Yes",ROUND((-$K$9*(1+'Part VII-Pro Forma'!$B$7)^('Part VII-Pro Forma'!J46-1)),),IF('Part VII-Pro Forma'!$G$10="Yes",ROUND((-(SUM(J47:J50)*'Part VII-Pro Forma'!$K$10)),),"Choose mgt fee")))</f>
        <v>-40858</v>
      </c>
      <c r="K54" s="23">
        <f>IF(AND('Part VII-Pro Forma'!$G$9="Yes",'Part VII-Pro Forma'!$G$10="Yes"),"Choose One!",IF('Part VII-Pro Forma'!$G$9="Yes",ROUND((-$K$9*(1+'Part VII-Pro Forma'!$B$7)^('Part VII-Pro Forma'!K46-1)),),IF('Part VII-Pro Forma'!$G$10="Yes",ROUND((-(SUM(K47:K50)*'Part VII-Pro Forma'!$K$10)),),"Choose mgt fee")))</f>
        <v>-42084</v>
      </c>
      <c r="N54" s="3831"/>
      <c r="O54" s="3833"/>
      <c r="Z54" s="2807" t="s">
        <v>6773</v>
      </c>
      <c r="AA54" s="1788">
        <v>54</v>
      </c>
    </row>
    <row r="55" spans="1:27" ht="13.35" customHeight="1">
      <c r="A55" s="21" t="s">
        <v>1156</v>
      </c>
      <c r="B55" s="22">
        <f t="shared" ref="B55:K55" si="22">$B$23*(1+$B$8)^(B46-1)</f>
        <v>-16798.954741801521</v>
      </c>
      <c r="C55" s="22">
        <f t="shared" si="22"/>
        <v>-17302.923384055568</v>
      </c>
      <c r="D55" s="22">
        <f t="shared" si="22"/>
        <v>-17822.011085577233</v>
      </c>
      <c r="E55" s="22">
        <f t="shared" si="22"/>
        <v>-18356.67141814455</v>
      </c>
      <c r="F55" s="22">
        <f t="shared" si="22"/>
        <v>-18907.371560688887</v>
      </c>
      <c r="G55" s="22">
        <f t="shared" si="22"/>
        <v>-19474.592707509557</v>
      </c>
      <c r="H55" s="22">
        <f t="shared" si="22"/>
        <v>-20058.830488734839</v>
      </c>
      <c r="I55" s="22">
        <f t="shared" si="22"/>
        <v>-20660.595403396885</v>
      </c>
      <c r="J55" s="22">
        <f t="shared" si="22"/>
        <v>-21280.413265498792</v>
      </c>
      <c r="K55" s="23">
        <f t="shared" si="22"/>
        <v>-21918.825663463755</v>
      </c>
      <c r="N55" s="3831"/>
      <c r="O55" s="3833"/>
      <c r="Q55" s="847">
        <v>10</v>
      </c>
      <c r="R55" s="945">
        <f>-SUM(B61:K61)</f>
        <v>0</v>
      </c>
      <c r="S55" s="945">
        <f>SUM(B62:K62)+R55</f>
        <v>0</v>
      </c>
      <c r="Z55" s="2807" t="s">
        <v>6773</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1"/>
      <c r="O56" s="3833"/>
      <c r="Z56" s="2807" t="s">
        <v>6773</v>
      </c>
      <c r="AA56" s="1788">
        <v>56</v>
      </c>
    </row>
    <row r="57" spans="1:27" ht="13.35" customHeight="1">
      <c r="A57" s="21" t="s">
        <v>1157</v>
      </c>
      <c r="B57" s="22">
        <f t="shared" ref="B57:K57" si="23">SUM(B52:B56)</f>
        <v>51217.63360480588</v>
      </c>
      <c r="C57" s="22">
        <f t="shared" si="23"/>
        <v>48720.706564028442</v>
      </c>
      <c r="D57" s="22">
        <f t="shared" si="23"/>
        <v>46069.250191049374</v>
      </c>
      <c r="E57" s="22">
        <f t="shared" si="23"/>
        <v>43254.855375482926</v>
      </c>
      <c r="F57" s="22">
        <f t="shared" si="23"/>
        <v>40272.918469023483</v>
      </c>
      <c r="G57" s="22">
        <f t="shared" si="23"/>
        <v>37115.634804015601</v>
      </c>
      <c r="H57" s="22">
        <f t="shared" si="23"/>
        <v>33775.992004676242</v>
      </c>
      <c r="I57" s="22">
        <f t="shared" si="23"/>
        <v>30247.763084487397</v>
      </c>
      <c r="J57" s="22">
        <f t="shared" si="23"/>
        <v>26522.499323086202</v>
      </c>
      <c r="K57" s="1299">
        <f t="shared" si="23"/>
        <v>22592.522915764228</v>
      </c>
      <c r="N57" s="3831"/>
      <c r="O57" s="3833"/>
      <c r="Z57" s="2807" t="s">
        <v>6773</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31"/>
      <c r="O58" s="3833"/>
      <c r="Z58" s="2807" t="s">
        <v>6773</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1"/>
      <c r="O59" s="3833"/>
      <c r="Z59" s="2807" t="s">
        <v>6773</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1"/>
      <c r="O60" s="3833"/>
      <c r="Z60" s="2807" t="s">
        <v>6773</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1"/>
      <c r="O61" s="3833"/>
      <c r="Z61" s="2807" t="s">
        <v>6773</v>
      </c>
      <c r="AA61" s="1788">
        <v>61</v>
      </c>
    </row>
    <row r="62" spans="1:27" ht="13.35" customHeight="1">
      <c r="A62" s="21" t="s">
        <v>733</v>
      </c>
      <c r="B62" s="2946"/>
      <c r="C62" s="2946"/>
      <c r="D62" s="2946"/>
      <c r="E62" s="2946"/>
      <c r="F62" s="2946"/>
      <c r="G62" s="2946"/>
      <c r="H62" s="2946"/>
      <c r="I62" s="2946"/>
      <c r="J62" s="2946"/>
      <c r="K62" s="2946"/>
      <c r="N62" s="3831"/>
      <c r="O62" s="3833"/>
      <c r="Q62" s="847"/>
      <c r="R62" s="945"/>
      <c r="Z62" s="2807" t="s">
        <v>6773</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31"/>
      <c r="O63" s="3833"/>
      <c r="Z63" s="2807" t="s">
        <v>6773</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1"/>
      <c r="O64" s="3833"/>
      <c r="Z64" s="2807" t="s">
        <v>6773</v>
      </c>
      <c r="AA64" s="1788">
        <v>64</v>
      </c>
    </row>
    <row r="65" spans="1:27" ht="13.35" customHeight="1">
      <c r="A65" s="21" t="s">
        <v>1122</v>
      </c>
      <c r="B65" s="22">
        <f t="shared" ref="B65:K65" si="25">SUM(B57:B64)</f>
        <v>43717.63360480588</v>
      </c>
      <c r="C65" s="22">
        <f t="shared" si="25"/>
        <v>41220.706564028442</v>
      </c>
      <c r="D65" s="22">
        <f t="shared" si="25"/>
        <v>38569.250191049374</v>
      </c>
      <c r="E65" s="22">
        <f t="shared" si="25"/>
        <v>35754.855375482926</v>
      </c>
      <c r="F65" s="22">
        <f t="shared" si="25"/>
        <v>32772.918469023483</v>
      </c>
      <c r="G65" s="22">
        <f t="shared" si="25"/>
        <v>29615.634804015601</v>
      </c>
      <c r="H65" s="22">
        <f t="shared" si="25"/>
        <v>26275.992004676242</v>
      </c>
      <c r="I65" s="22">
        <f t="shared" si="25"/>
        <v>22747.763084487397</v>
      </c>
      <c r="J65" s="22">
        <f t="shared" si="25"/>
        <v>19022.499323086202</v>
      </c>
      <c r="K65" s="566">
        <f t="shared" si="25"/>
        <v>15092.522915764228</v>
      </c>
      <c r="N65" s="3831"/>
      <c r="O65" s="3833"/>
      <c r="Z65" s="2807" t="s">
        <v>6773</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1"/>
      <c r="O66" s="3833"/>
      <c r="Z66" s="2807" t="s">
        <v>6773</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1"/>
      <c r="O67" s="3833"/>
      <c r="Z67" s="2807" t="s">
        <v>6773</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1"/>
      <c r="O68" s="3833"/>
      <c r="Z68" s="2807" t="s">
        <v>6773</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1"/>
      <c r="O69" s="3833"/>
      <c r="Z69" s="2807" t="s">
        <v>6773</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1"/>
      <c r="O70" s="3833"/>
      <c r="Z70" s="2807" t="s">
        <v>6773</v>
      </c>
      <c r="AA70" s="1788">
        <v>70</v>
      </c>
    </row>
    <row r="71" spans="1:27" ht="13.35" customHeight="1">
      <c r="A71" s="21" t="s">
        <v>740</v>
      </c>
      <c r="B71" s="263">
        <f t="shared" ref="B71:K71" si="31">IF(OR(B54="Choose mgt fee",B54="Choose One!"),"",(B47+B48+B49+B50+B51) / -(B53+B54+B55))</f>
        <v>1.1454674594040224</v>
      </c>
      <c r="C71" s="263">
        <f t="shared" si="31"/>
        <v>1.1343452275027095</v>
      </c>
      <c r="D71" s="263">
        <f t="shared" si="31"/>
        <v>1.1233341518761941</v>
      </c>
      <c r="E71" s="263">
        <f t="shared" si="31"/>
        <v>1.1124266650233845</v>
      </c>
      <c r="F71" s="263">
        <f t="shared" si="31"/>
        <v>1.1016273791109055</v>
      </c>
      <c r="G71" s="263">
        <f t="shared" si="31"/>
        <v>1.0909321280281492</v>
      </c>
      <c r="H71" s="263">
        <f t="shared" si="31"/>
        <v>1.0803398601486867</v>
      </c>
      <c r="I71" s="263">
        <f t="shared" si="31"/>
        <v>1.0698520871919963</v>
      </c>
      <c r="J71" s="263">
        <f t="shared" si="31"/>
        <v>1.059465268739866</v>
      </c>
      <c r="K71" s="264">
        <f t="shared" si="31"/>
        <v>1.049178604377377</v>
      </c>
      <c r="N71" s="3831"/>
      <c r="O71" s="3833"/>
      <c r="Z71" s="2807" t="s">
        <v>6773</v>
      </c>
      <c r="AA71" s="1788">
        <v>71</v>
      </c>
    </row>
    <row r="72" spans="1:27" ht="13.35" customHeight="1">
      <c r="A72" s="409" t="s">
        <v>2493</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31"/>
      <c r="O72" s="3833"/>
      <c r="Z72" s="2807" t="s">
        <v>6773</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1"/>
      <c r="O73" s="3833"/>
      <c r="Z73" s="2807" t="s">
        <v>6773</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1"/>
      <c r="O74" s="3833"/>
      <c r="Z74" s="2807" t="s">
        <v>6773</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1"/>
      <c r="O75" s="3833"/>
      <c r="Z75" s="2807" t="s">
        <v>6773</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3"/>
      <c r="O76" s="3845"/>
      <c r="Z76" s="2807"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2498</v>
      </c>
      <c r="O78" s="3479"/>
      <c r="AA78" s="1788">
        <v>78</v>
      </c>
    </row>
    <row r="79" spans="1:27" ht="13.35" customHeight="1">
      <c r="A79" s="18" t="s">
        <v>2294</v>
      </c>
      <c r="B79" s="19">
        <f t="shared" ref="B79:K79" si="33">$B$15*(1+$B$6)^(B78-1)</f>
        <v>518268.73276933038</v>
      </c>
      <c r="C79" s="19">
        <f t="shared" si="33"/>
        <v>528634.10742471693</v>
      </c>
      <c r="D79" s="19">
        <f t="shared" si="33"/>
        <v>539206.78957321134</v>
      </c>
      <c r="E79" s="19">
        <f t="shared" si="33"/>
        <v>549990.92536467547</v>
      </c>
      <c r="F79" s="19">
        <f t="shared" si="33"/>
        <v>560990.74387196894</v>
      </c>
      <c r="G79" s="19">
        <f t="shared" si="33"/>
        <v>572210.55874940834</v>
      </c>
      <c r="H79" s="19">
        <f t="shared" si="33"/>
        <v>583654.76992439665</v>
      </c>
      <c r="I79" s="19">
        <f t="shared" si="33"/>
        <v>595327.86532288441</v>
      </c>
      <c r="J79" s="19">
        <f t="shared" si="33"/>
        <v>607234.4226293423</v>
      </c>
      <c r="K79" s="20">
        <f t="shared" si="33"/>
        <v>619379.11108192895</v>
      </c>
      <c r="N79" s="3840"/>
      <c r="O79" s="3842"/>
      <c r="Z79" s="2807" t="s">
        <v>6774</v>
      </c>
      <c r="AA79" s="1788">
        <v>79</v>
      </c>
    </row>
    <row r="80" spans="1:27" ht="13.35" customHeight="1">
      <c r="A80" s="21" t="s">
        <v>977</v>
      </c>
      <c r="B80" s="22">
        <f t="shared" ref="B80:K80" si="34">$B$16*(1+$B$6)^(B78-1)</f>
        <v>10365.374655386608</v>
      </c>
      <c r="C80" s="22">
        <f t="shared" si="34"/>
        <v>10572.682148494339</v>
      </c>
      <c r="D80" s="22">
        <f t="shared" si="34"/>
        <v>10784.135791464227</v>
      </c>
      <c r="E80" s="22">
        <f t="shared" si="34"/>
        <v>10999.81850729351</v>
      </c>
      <c r="F80" s="22">
        <f t="shared" si="34"/>
        <v>11219.814877439381</v>
      </c>
      <c r="G80" s="22">
        <f t="shared" si="34"/>
        <v>11444.211174988168</v>
      </c>
      <c r="H80" s="22">
        <f t="shared" si="34"/>
        <v>11673.095398487932</v>
      </c>
      <c r="I80" s="22">
        <f t="shared" si="34"/>
        <v>11906.557306457689</v>
      </c>
      <c r="J80" s="22">
        <f t="shared" si="34"/>
        <v>12144.688452586846</v>
      </c>
      <c r="K80" s="23">
        <f t="shared" si="34"/>
        <v>12387.58222163858</v>
      </c>
      <c r="N80" s="3831"/>
      <c r="O80" s="3833"/>
      <c r="Z80" s="2807" t="s">
        <v>6774</v>
      </c>
      <c r="AA80" s="1788">
        <v>80</v>
      </c>
    </row>
    <row r="81" spans="1:27" ht="13.35" customHeight="1">
      <c r="A81" s="21" t="s">
        <v>2295</v>
      </c>
      <c r="B81" s="22">
        <f t="shared" ref="B81:K81" si="35">-(B79+B80)*$B$9</f>
        <v>-37004.38751973019</v>
      </c>
      <c r="C81" s="22">
        <f t="shared" si="35"/>
        <v>-37744.475270124793</v>
      </c>
      <c r="D81" s="22">
        <f t="shared" si="35"/>
        <v>-38499.364775527298</v>
      </c>
      <c r="E81" s="22">
        <f t="shared" si="35"/>
        <v>-39269.352071037829</v>
      </c>
      <c r="F81" s="22">
        <f t="shared" si="35"/>
        <v>-40054.739112458585</v>
      </c>
      <c r="G81" s="22">
        <f t="shared" si="35"/>
        <v>-40855.833894707765</v>
      </c>
      <c r="H81" s="22">
        <f t="shared" si="35"/>
        <v>-41672.950572601927</v>
      </c>
      <c r="I81" s="22">
        <f t="shared" si="35"/>
        <v>-42506.409584053952</v>
      </c>
      <c r="J81" s="22">
        <f t="shared" si="35"/>
        <v>-43356.537775735043</v>
      </c>
      <c r="K81" s="23">
        <f t="shared" si="35"/>
        <v>-44223.668531249728</v>
      </c>
      <c r="N81" s="3831"/>
      <c r="O81" s="3833"/>
      <c r="Z81" s="2807"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1"/>
      <c r="O82" s="3833"/>
      <c r="Z82" s="2807"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1"/>
      <c r="O83" s="3833"/>
      <c r="Z83" s="2807" t="s">
        <v>6774</v>
      </c>
      <c r="AA83" s="1787">
        <v>83</v>
      </c>
    </row>
    <row r="84" spans="1:27" ht="13.35" customHeight="1">
      <c r="A84" s="409" t="s">
        <v>4014</v>
      </c>
      <c r="B84" s="22">
        <f t="shared" ref="B84:K84" si="36">SUM(B79:B83)</f>
        <v>491629.71990498673</v>
      </c>
      <c r="C84" s="22">
        <f t="shared" si="36"/>
        <v>501462.31430308643</v>
      </c>
      <c r="D84" s="22">
        <f t="shared" si="36"/>
        <v>511491.56058914831</v>
      </c>
      <c r="E84" s="22">
        <f t="shared" si="36"/>
        <v>521721.39180093113</v>
      </c>
      <c r="F84" s="22">
        <f t="shared" si="36"/>
        <v>532155.8196369498</v>
      </c>
      <c r="G84" s="22">
        <f t="shared" si="36"/>
        <v>542798.9360296888</v>
      </c>
      <c r="H84" s="22">
        <f t="shared" si="36"/>
        <v>553654.91475028265</v>
      </c>
      <c r="I84" s="22">
        <f t="shared" si="36"/>
        <v>564728.01304528816</v>
      </c>
      <c r="J84" s="22">
        <f t="shared" si="36"/>
        <v>576022.57330619416</v>
      </c>
      <c r="K84" s="23">
        <f t="shared" si="36"/>
        <v>587543.02477231773</v>
      </c>
      <c r="N84" s="3831"/>
      <c r="O84" s="3833"/>
      <c r="Z84" s="2807" t="s">
        <v>6774</v>
      </c>
      <c r="AA84" s="1788">
        <v>84</v>
      </c>
    </row>
    <row r="85" spans="1:27" ht="13.35" customHeight="1">
      <c r="A85" s="21" t="s">
        <v>585</v>
      </c>
      <c r="B85" s="22">
        <f t="shared" ref="B85:K85" si="37">$B$21*(1+$B$7)^(B78-1)</f>
        <v>-407256.41008313664</v>
      </c>
      <c r="C85" s="22">
        <f t="shared" si="37"/>
        <v>-419474.10238563071</v>
      </c>
      <c r="D85" s="22">
        <f t="shared" si="37"/>
        <v>-432058.32545719965</v>
      </c>
      <c r="E85" s="22">
        <f t="shared" si="37"/>
        <v>-445020.07522091566</v>
      </c>
      <c r="F85" s="22">
        <f t="shared" si="37"/>
        <v>-458370.67747754307</v>
      </c>
      <c r="G85" s="22">
        <f t="shared" si="37"/>
        <v>-472121.7978018694</v>
      </c>
      <c r="H85" s="22">
        <f t="shared" si="37"/>
        <v>-486285.45173592551</v>
      </c>
      <c r="I85" s="22">
        <f t="shared" si="37"/>
        <v>-500874.01528800325</v>
      </c>
      <c r="J85" s="22">
        <f t="shared" si="37"/>
        <v>-515900.23574664333</v>
      </c>
      <c r="K85" s="23">
        <f t="shared" si="37"/>
        <v>-531377.24281904253</v>
      </c>
      <c r="N85" s="3831"/>
      <c r="O85" s="3833"/>
      <c r="Z85" s="2807"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-43347</v>
      </c>
      <c r="C86" s="22">
        <f>IF(AND('Part VII-Pro Forma'!$G$9="Yes",'Part VII-Pro Forma'!$G$10="Yes"),"Choose One!",IF('Part VII-Pro Forma'!$G$9="Yes",ROUND((-$K$9*(1+'Part VII-Pro Forma'!$B$7)^('Part VII-Pro Forma'!C78-1)),),IF('Part VII-Pro Forma'!$G$10="Yes",ROUND((-(SUM(C79:C82)*'Part VII-Pro Forma'!$K$10)),),"Choose mgt fee")))</f>
        <v>-44647</v>
      </c>
      <c r="D86" s="22">
        <f>IF(AND('Part VII-Pro Forma'!$G$9="Yes",'Part VII-Pro Forma'!$G$10="Yes"),"Choose One!",IF('Part VII-Pro Forma'!$G$9="Yes",ROUND((-$K$9*(1+'Part VII-Pro Forma'!$B$7)^('Part VII-Pro Forma'!D78-1)),),IF('Part VII-Pro Forma'!$G$10="Yes",ROUND((-(SUM(D79:D82)*'Part VII-Pro Forma'!$K$10)),),"Choose mgt fee")))</f>
        <v>-45986</v>
      </c>
      <c r="E86" s="22">
        <f>IF(AND('Part VII-Pro Forma'!$G$9="Yes",'Part VII-Pro Forma'!$G$10="Yes"),"Choose One!",IF('Part VII-Pro Forma'!$G$9="Yes",ROUND((-$K$9*(1+'Part VII-Pro Forma'!$B$7)^('Part VII-Pro Forma'!E78-1)),),IF('Part VII-Pro Forma'!$G$10="Yes",ROUND((-(SUM(E79:E82)*'Part VII-Pro Forma'!$K$10)),),"Choose mgt fee")))</f>
        <v>-47366</v>
      </c>
      <c r="F86" s="22">
        <f>IF(AND('Part VII-Pro Forma'!$G$9="Yes",'Part VII-Pro Forma'!$G$10="Yes"),"Choose One!",IF('Part VII-Pro Forma'!$G$9="Yes",ROUND((-$K$9*(1+'Part VII-Pro Forma'!$B$7)^('Part VII-Pro Forma'!F78-1)),),IF('Part VII-Pro Forma'!$G$10="Yes",ROUND((-(SUM(F79:F82)*'Part VII-Pro Forma'!$K$10)),),"Choose mgt fee")))</f>
        <v>-48787</v>
      </c>
      <c r="G86" s="22">
        <f>IF(AND('Part VII-Pro Forma'!$G$9="Yes",'Part VII-Pro Forma'!$G$10="Yes"),"Choose One!",IF('Part VII-Pro Forma'!$G$9="Yes",ROUND((-$K$9*(1+'Part VII-Pro Forma'!$B$7)^('Part VII-Pro Forma'!G78-1)),),IF('Part VII-Pro Forma'!$G$10="Yes",ROUND((-(SUM(G79:G82)*'Part VII-Pro Forma'!$K$10)),),"Choose mgt fee")))</f>
        <v>-50251</v>
      </c>
      <c r="H86" s="22">
        <f>IF(AND('Part VII-Pro Forma'!$G$9="Yes",'Part VII-Pro Forma'!$G$10="Yes"),"Choose One!",IF('Part VII-Pro Forma'!$G$9="Yes",ROUND((-$K$9*(1+'Part VII-Pro Forma'!$B$7)^('Part VII-Pro Forma'!H78-1)),),IF('Part VII-Pro Forma'!$G$10="Yes",ROUND((-(SUM(H79:H82)*'Part VII-Pro Forma'!$K$10)),),"Choose mgt fee")))</f>
        <v>-51758</v>
      </c>
      <c r="I86" s="22">
        <f>IF(AND('Part VII-Pro Forma'!$G$9="Yes",'Part VII-Pro Forma'!$G$10="Yes"),"Choose One!",IF('Part VII-Pro Forma'!$G$9="Yes",ROUND((-$K$9*(1+'Part VII-Pro Forma'!$B$7)^('Part VII-Pro Forma'!I78-1)),),IF('Part VII-Pro Forma'!$G$10="Yes",ROUND((-(SUM(I79:I82)*'Part VII-Pro Forma'!$K$10)),),"Choose mgt fee")))</f>
        <v>-53311</v>
      </c>
      <c r="J86" s="22">
        <f>IF(AND('Part VII-Pro Forma'!$G$9="Yes",'Part VII-Pro Forma'!$G$10="Yes"),"Choose One!",IF('Part VII-Pro Forma'!$G$9="Yes",ROUND((-$K$9*(1+'Part VII-Pro Forma'!$B$7)^('Part VII-Pro Forma'!J78-1)),),IF('Part VII-Pro Forma'!$G$10="Yes",ROUND((-(SUM(J79:J82)*'Part VII-Pro Forma'!$K$10)),),"Choose mgt fee")))</f>
        <v>-54910</v>
      </c>
      <c r="K86" s="23">
        <f>IF(AND('Part VII-Pro Forma'!$G$9="Yes",'Part VII-Pro Forma'!$G$10="Yes"),"Choose One!",IF('Part VII-Pro Forma'!$G$9="Yes",ROUND((-$K$9*(1+'Part VII-Pro Forma'!$B$7)^('Part VII-Pro Forma'!K78-1)),),IF('Part VII-Pro Forma'!$G$10="Yes",ROUND((-(SUM(K79:K82)*'Part VII-Pro Forma'!$K$10)),),"Choose mgt fee")))</f>
        <v>-56558</v>
      </c>
      <c r="N86" s="3831"/>
      <c r="O86" s="3833"/>
      <c r="Z86" s="2807" t="s">
        <v>6774</v>
      </c>
      <c r="AA86" s="1788">
        <v>86</v>
      </c>
    </row>
    <row r="87" spans="1:27" ht="13.35" customHeight="1">
      <c r="A87" s="21" t="s">
        <v>1156</v>
      </c>
      <c r="B87" s="22">
        <f t="shared" ref="B87:K87" si="38">$B$23*(1+$B$8)^(B78-1)</f>
        <v>-22576.390433367666</v>
      </c>
      <c r="C87" s="22">
        <f t="shared" si="38"/>
        <v>-23253.682146368694</v>
      </c>
      <c r="D87" s="22">
        <f t="shared" si="38"/>
        <v>-23951.292610759756</v>
      </c>
      <c r="E87" s="22">
        <f t="shared" si="38"/>
        <v>-24669.831389082548</v>
      </c>
      <c r="F87" s="22">
        <f t="shared" si="38"/>
        <v>-25409.926330755021</v>
      </c>
      <c r="G87" s="22">
        <f t="shared" si="38"/>
        <v>-26172.224120677674</v>
      </c>
      <c r="H87" s="22">
        <f t="shared" si="38"/>
        <v>-26957.390844298006</v>
      </c>
      <c r="I87" s="22">
        <f t="shared" si="38"/>
        <v>-27766.112569626945</v>
      </c>
      <c r="J87" s="22">
        <f t="shared" si="38"/>
        <v>-28599.095946715752</v>
      </c>
      <c r="K87" s="23">
        <f t="shared" si="38"/>
        <v>-29457.068825117221</v>
      </c>
      <c r="N87" s="3831"/>
      <c r="O87" s="3833"/>
      <c r="Q87" s="847">
        <v>10</v>
      </c>
      <c r="R87" s="945">
        <f>-SUM(B93:K93)</f>
        <v>0</v>
      </c>
      <c r="S87" s="945">
        <f>SUM(B94:K94)+R87</f>
        <v>0</v>
      </c>
      <c r="Z87" s="2807" t="s">
        <v>6774</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1"/>
      <c r="O88" s="3833"/>
      <c r="Z88" s="2807" t="s">
        <v>6774</v>
      </c>
      <c r="AA88" s="1788">
        <v>88</v>
      </c>
    </row>
    <row r="89" spans="1:27" ht="13.35" customHeight="1">
      <c r="A89" s="21" t="s">
        <v>1157</v>
      </c>
      <c r="B89" s="22">
        <f t="shared" ref="B89:K89" si="39">SUM(B84:B88)</f>
        <v>18449.919388482431</v>
      </c>
      <c r="C89" s="22">
        <f t="shared" si="39"/>
        <v>14087.529771087022</v>
      </c>
      <c r="D89" s="22">
        <f t="shared" si="39"/>
        <v>9495.9425211889065</v>
      </c>
      <c r="E89" s="22">
        <f t="shared" si="39"/>
        <v>4665.4851909329191</v>
      </c>
      <c r="F89" s="22">
        <f t="shared" si="39"/>
        <v>-411.78417134828487</v>
      </c>
      <c r="G89" s="22">
        <f t="shared" si="39"/>
        <v>-5746.0858928582675</v>
      </c>
      <c r="H89" s="22">
        <f t="shared" si="39"/>
        <v>-11345.927829940865</v>
      </c>
      <c r="I89" s="22">
        <f t="shared" si="39"/>
        <v>-17223.114812342043</v>
      </c>
      <c r="J89" s="22">
        <f t="shared" si="39"/>
        <v>-23386.758387164926</v>
      </c>
      <c r="K89" s="1299">
        <f t="shared" si="39"/>
        <v>-29849.286871842018</v>
      </c>
      <c r="N89" s="3831"/>
      <c r="O89" s="3833"/>
      <c r="Z89" s="2807" t="s">
        <v>6774</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31"/>
      <c r="O90" s="3833"/>
      <c r="Z90" s="2807" t="s">
        <v>6774</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1"/>
      <c r="O91" s="3833"/>
      <c r="Z91" s="2807" t="s">
        <v>6774</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1"/>
      <c r="O92" s="3833"/>
      <c r="Z92" s="2807" t="s">
        <v>6774</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1"/>
      <c r="O93" s="3833"/>
      <c r="Z93" s="2807" t="s">
        <v>6774</v>
      </c>
      <c r="AA93" s="1788">
        <v>93</v>
      </c>
    </row>
    <row r="94" spans="1:27" ht="13.35" customHeight="1">
      <c r="A94" s="21" t="s">
        <v>733</v>
      </c>
      <c r="B94" s="2946"/>
      <c r="C94" s="2946"/>
      <c r="D94" s="2946"/>
      <c r="E94" s="2946"/>
      <c r="F94" s="2946"/>
      <c r="G94" s="2946"/>
      <c r="H94" s="2946"/>
      <c r="I94" s="2946"/>
      <c r="J94" s="2946"/>
      <c r="K94" s="2946"/>
      <c r="N94" s="3831"/>
      <c r="O94" s="3833"/>
      <c r="Z94" s="2807" t="s">
        <v>6774</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31"/>
      <c r="O95" s="3833"/>
      <c r="Z95" s="2807" t="s">
        <v>6774</v>
      </c>
      <c r="AA95" s="1788">
        <v>95</v>
      </c>
    </row>
    <row r="96" spans="1:27" ht="13.35" customHeight="1">
      <c r="A96" s="21" t="s">
        <v>1122</v>
      </c>
      <c r="B96" s="22">
        <f t="shared" ref="B96:K96" si="41">SUM(B89:B95)</f>
        <v>10949.919388482431</v>
      </c>
      <c r="C96" s="22">
        <f t="shared" si="41"/>
        <v>6587.5297710870218</v>
      </c>
      <c r="D96" s="22">
        <f t="shared" si="41"/>
        <v>1995.9425211889065</v>
      </c>
      <c r="E96" s="22">
        <f t="shared" si="41"/>
        <v>-2834.5148090670809</v>
      </c>
      <c r="F96" s="22">
        <f t="shared" si="41"/>
        <v>-7911.7841713482849</v>
      </c>
      <c r="G96" s="22">
        <f t="shared" si="41"/>
        <v>-13246.085892858267</v>
      </c>
      <c r="H96" s="22">
        <f t="shared" si="41"/>
        <v>-18845.927829940865</v>
      </c>
      <c r="I96" s="22">
        <f t="shared" si="41"/>
        <v>-24723.114812342043</v>
      </c>
      <c r="J96" s="22">
        <f t="shared" si="41"/>
        <v>-30886.758387164926</v>
      </c>
      <c r="K96" s="23">
        <f t="shared" si="41"/>
        <v>-37349.286871842021</v>
      </c>
      <c r="N96" s="3831"/>
      <c r="O96" s="3833"/>
      <c r="Z96" s="2807" t="s">
        <v>6774</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1"/>
      <c r="O97" s="3833"/>
      <c r="Z97" s="2807" t="s">
        <v>6774</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1"/>
      <c r="O98" s="3833"/>
      <c r="Z98" s="2807" t="s">
        <v>6774</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1"/>
      <c r="O99" s="3833"/>
      <c r="Z99" s="2807" t="s">
        <v>6774</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1"/>
      <c r="O100" s="3833"/>
      <c r="Z100" s="2807" t="s">
        <v>6774</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1"/>
      <c r="O101" s="3833"/>
      <c r="Z101" s="2807" t="s">
        <v>6774</v>
      </c>
      <c r="AA101" s="1788">
        <v>101</v>
      </c>
    </row>
    <row r="102" spans="1:27" ht="13.35" customHeight="1">
      <c r="A102" s="21" t="s">
        <v>740</v>
      </c>
      <c r="B102" s="263">
        <f>IF(OR(B86="Choose mgt fee",B86="Choose One!"),"",(B79+B80+B81+B82+B83) / -(B85+B86+B87))</f>
        <v>1.0389913503669075</v>
      </c>
      <c r="C102" s="263">
        <f t="shared" ref="C102:K102" si="47">IF(OR(C86="Choose mgt fee",C86="Choose One!"),"",(C79+C80+C81+C82+C83) / -(C85+C86+C87))</f>
        <v>1.0289049212601644</v>
      </c>
      <c r="D102" s="263">
        <f t="shared" si="47"/>
        <v>1.0189163852818799</v>
      </c>
      <c r="E102" s="263">
        <f t="shared" si="47"/>
        <v>1.0090231735703814</v>
      </c>
      <c r="F102" s="263">
        <f t="shared" si="47"/>
        <v>0.99922679455452468</v>
      </c>
      <c r="G102" s="263">
        <f t="shared" si="47"/>
        <v>0.98952486001473627</v>
      </c>
      <c r="H102" s="263">
        <f t="shared" si="47"/>
        <v>0.97991874175244276</v>
      </c>
      <c r="I102" s="263">
        <f t="shared" si="47"/>
        <v>0.97040453401001825</v>
      </c>
      <c r="J102" s="263">
        <f t="shared" si="47"/>
        <v>0.960983659828758</v>
      </c>
      <c r="K102" s="264">
        <f t="shared" si="47"/>
        <v>0.9516526423979087</v>
      </c>
      <c r="N102" s="3831"/>
      <c r="O102" s="3833"/>
      <c r="Z102" s="2807" t="s">
        <v>6774</v>
      </c>
      <c r="AA102" s="1788">
        <v>102</v>
      </c>
    </row>
    <row r="103" spans="1:27" ht="13.35" customHeight="1">
      <c r="A103" s="409" t="s">
        <v>2493</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31"/>
      <c r="O103" s="3833"/>
      <c r="Z103" s="2807" t="s">
        <v>6774</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1"/>
      <c r="O104" s="3833"/>
      <c r="Z104" s="2807" t="s">
        <v>6774</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1"/>
      <c r="O105" s="3833"/>
      <c r="Z105" s="2807" t="s">
        <v>6774</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3"/>
      <c r="O106" s="3845"/>
      <c r="Z106" s="2807"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3335</v>
      </c>
      <c r="O108" s="3479"/>
      <c r="AA108" s="1788">
        <v>108</v>
      </c>
    </row>
    <row r="109" spans="1:27" ht="13.35" customHeight="1">
      <c r="A109" s="18" t="s">
        <v>2294</v>
      </c>
      <c r="B109" s="19">
        <f>$B$15*(1+$B$6)^(B108-1)</f>
        <v>631766.69330356759</v>
      </c>
      <c r="C109" s="19">
        <f>$B$15*(1+$B$6)^(C108-1)</f>
        <v>644402.02716963878</v>
      </c>
      <c r="D109" s="19">
        <f>$B$15*(1+$B$6)^(D108-1)</f>
        <v>657290.06771303178</v>
      </c>
      <c r="E109" s="19">
        <f>$B$15*(1+$B$6)^(E108-1)</f>
        <v>670435.86906729243</v>
      </c>
      <c r="F109" s="566">
        <f>$B$15*(1+$B$6)^(F108-1)</f>
        <v>683844.58644863823</v>
      </c>
      <c r="G109" s="17"/>
      <c r="H109" s="17"/>
      <c r="I109" s="17"/>
      <c r="J109" s="17"/>
      <c r="K109" s="17"/>
      <c r="N109" s="3840"/>
      <c r="O109" s="3842"/>
      <c r="Z109" s="2807" t="s">
        <v>6775</v>
      </c>
      <c r="AA109" s="1787">
        <v>109</v>
      </c>
    </row>
    <row r="110" spans="1:27" ht="13.35" customHeight="1">
      <c r="A110" s="21" t="s">
        <v>977</v>
      </c>
      <c r="B110" s="22">
        <f>$B$16*(1+$B$6)^(B108-1)</f>
        <v>12635.333866071353</v>
      </c>
      <c r="C110" s="22">
        <f>$B$16*(1+$B$6)^(C108-1)</f>
        <v>12888.040543392777</v>
      </c>
      <c r="D110" s="22">
        <f>$B$16*(1+$B$6)^(D108-1)</f>
        <v>13145.801354260635</v>
      </c>
      <c r="E110" s="22">
        <f>$B$16*(1+$B$6)^(E108-1)</f>
        <v>13408.717381345848</v>
      </c>
      <c r="F110" s="23">
        <f>$B$16*(1+$B$6)^(F108-1)</f>
        <v>13676.891728972765</v>
      </c>
      <c r="G110" s="17"/>
      <c r="H110" s="17"/>
      <c r="I110" s="17"/>
      <c r="J110" s="17"/>
      <c r="K110" s="17"/>
      <c r="N110" s="3831"/>
      <c r="O110" s="3833"/>
      <c r="Z110" s="2807" t="s">
        <v>6775</v>
      </c>
      <c r="AA110" s="1788">
        <v>110</v>
      </c>
    </row>
    <row r="111" spans="1:27" ht="13.35" customHeight="1">
      <c r="A111" s="21" t="s">
        <v>2295</v>
      </c>
      <c r="B111" s="22">
        <f>-(B109+B110)*$B$9</f>
        <v>-45108.141901874726</v>
      </c>
      <c r="C111" s="22">
        <f>-(C109+C110)*$B$9</f>
        <v>-46010.304739912215</v>
      </c>
      <c r="D111" s="22">
        <f>-(D109+D110)*$B$9</f>
        <v>-46930.510834710476</v>
      </c>
      <c r="E111" s="22">
        <f>-(E109+E110)*$B$9</f>
        <v>-47869.121051404683</v>
      </c>
      <c r="F111" s="23">
        <f>-(F109+F110)*$B$9</f>
        <v>-48826.503472432778</v>
      </c>
      <c r="G111" s="17"/>
      <c r="H111" s="17"/>
      <c r="I111" s="17"/>
      <c r="J111" s="17"/>
      <c r="K111" s="17"/>
      <c r="N111" s="3831"/>
      <c r="O111" s="3833"/>
      <c r="Z111" s="2807"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1"/>
      <c r="O112" s="3833"/>
      <c r="Z112" s="2807"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1"/>
      <c r="O113" s="3833"/>
      <c r="Z113" s="2807" t="s">
        <v>6775</v>
      </c>
      <c r="AA113" s="1788">
        <v>113</v>
      </c>
    </row>
    <row r="114" spans="1:27" ht="13.35" customHeight="1">
      <c r="A114" s="409" t="s">
        <v>4014</v>
      </c>
      <c r="B114" s="22">
        <f>SUM(B109:B113)</f>
        <v>599293.88526776421</v>
      </c>
      <c r="C114" s="22">
        <f>SUM(C109:C113)</f>
        <v>611279.76297311927</v>
      </c>
      <c r="D114" s="22">
        <f>SUM(D109:D113)</f>
        <v>623505.35823258199</v>
      </c>
      <c r="E114" s="22">
        <f>SUM(E109:E113)</f>
        <v>635975.46539723361</v>
      </c>
      <c r="F114" s="23">
        <f>SUM(F109:F113)</f>
        <v>648694.97470517829</v>
      </c>
      <c r="G114" s="17"/>
      <c r="H114" s="17"/>
      <c r="I114" s="17"/>
      <c r="J114" s="17"/>
      <c r="K114" s="17"/>
      <c r="N114" s="3831"/>
      <c r="O114" s="3833"/>
      <c r="Z114" s="2807" t="s">
        <v>6775</v>
      </c>
      <c r="AA114" s="1788">
        <v>114</v>
      </c>
    </row>
    <row r="115" spans="1:27" ht="13.35" customHeight="1">
      <c r="A115" s="21" t="s">
        <v>585</v>
      </c>
      <c r="B115" s="22">
        <f>$B$21*(1+$B$7)^(B108-1)</f>
        <v>-547318.56010361388</v>
      </c>
      <c r="C115" s="22">
        <f>$B$21*(1+$B$7)^(C108-1)</f>
        <v>-563738.11690672231</v>
      </c>
      <c r="D115" s="22">
        <f>$B$21*(1+$B$7)^(D108-1)</f>
        <v>-580650.26041392388</v>
      </c>
      <c r="E115" s="22">
        <f>$B$21*(1+$B$7)^(E108-1)</f>
        <v>-598069.76822634169</v>
      </c>
      <c r="F115" s="23">
        <f>$B$21*(1+$B$7)^(F108-1)</f>
        <v>-616011.8612731318</v>
      </c>
      <c r="G115" s="17"/>
      <c r="H115" s="17"/>
      <c r="I115" s="17"/>
      <c r="J115" s="17"/>
      <c r="K115" s="17"/>
      <c r="N115" s="3831"/>
      <c r="O115" s="3833"/>
      <c r="Z115" s="2807"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-58254</v>
      </c>
      <c r="C116" s="22">
        <f>IF(AND('Part VII-Pro Forma'!$G$9="Yes",'Part VII-Pro Forma'!$G$10="Yes"),"Choose One!",IF('Part VII-Pro Forma'!$G$9="Yes",ROUND((-$K$9*(1+'Part VII-Pro Forma'!$B$7)^('Part VII-Pro Forma'!C108-1)),),IF('Part VII-Pro Forma'!$G$10="Yes",ROUND((-(SUM(C109:C112)*'Part VII-Pro Forma'!$K$10)),),"Choose mgt fee")))</f>
        <v>-60002</v>
      </c>
      <c r="D116" s="22">
        <f>IF(AND('Part VII-Pro Forma'!$G$9="Yes",'Part VII-Pro Forma'!$G$10="Yes"),"Choose One!",IF('Part VII-Pro Forma'!$G$9="Yes",ROUND((-$K$9*(1+'Part VII-Pro Forma'!$B$7)^('Part VII-Pro Forma'!D108-1)),),IF('Part VII-Pro Forma'!$G$10="Yes",ROUND((-(SUM(D109:D112)*'Part VII-Pro Forma'!$K$10)),),"Choose mgt fee")))</f>
        <v>-61802</v>
      </c>
      <c r="E116" s="22">
        <f>IF(AND('Part VII-Pro Forma'!$G$9="Yes",'Part VII-Pro Forma'!$G$10="Yes"),"Choose One!",IF('Part VII-Pro Forma'!$G$9="Yes",ROUND((-$K$9*(1+'Part VII-Pro Forma'!$B$7)^('Part VII-Pro Forma'!E108-1)),),IF('Part VII-Pro Forma'!$G$10="Yes",ROUND((-(SUM(E109:E112)*'Part VII-Pro Forma'!$K$10)),),"Choose mgt fee")))</f>
        <v>-63656</v>
      </c>
      <c r="F116" s="23">
        <f>IF(AND('Part VII-Pro Forma'!$G$9="Yes",'Part VII-Pro Forma'!$G$10="Yes"),"Choose One!",IF('Part VII-Pro Forma'!$G$9="Yes",ROUND((-$K$9*(1+'Part VII-Pro Forma'!$B$7)^('Part VII-Pro Forma'!F108-1)),),IF('Part VII-Pro Forma'!$G$10="Yes",ROUND((-(SUM(F109:F112)*'Part VII-Pro Forma'!$K$10)),),"Choose mgt fee")))</f>
        <v>-65566</v>
      </c>
      <c r="G116" s="17"/>
      <c r="H116" s="17"/>
      <c r="I116" s="17"/>
      <c r="J116" s="17"/>
      <c r="K116" s="17"/>
      <c r="N116" s="3831"/>
      <c r="O116" s="3833"/>
      <c r="Z116" s="2807" t="s">
        <v>6775</v>
      </c>
      <c r="AA116" s="1788">
        <v>116</v>
      </c>
    </row>
    <row r="117" spans="1:27" ht="13.35" customHeight="1">
      <c r="A117" s="21" t="s">
        <v>1156</v>
      </c>
      <c r="B117" s="22">
        <f>$B$23*(1+$B$8)^(B108-1)</f>
        <v>-30340.780889870737</v>
      </c>
      <c r="C117" s="22">
        <f>$B$23*(1+$B$8)^(C108-1)</f>
        <v>-31251.004316566865</v>
      </c>
      <c r="D117" s="22">
        <f>$B$23*(1+$B$8)^(D108-1)</f>
        <v>-32188.534446063866</v>
      </c>
      <c r="E117" s="22">
        <f>$B$23*(1+$B$8)^(E108-1)</f>
        <v>-33154.190479445781</v>
      </c>
      <c r="F117" s="23">
        <f>$B$23*(1+$B$8)^(F108-1)</f>
        <v>-34148.816193829152</v>
      </c>
      <c r="G117" s="17"/>
      <c r="H117" s="17"/>
      <c r="I117" s="17"/>
      <c r="J117" s="17"/>
      <c r="K117" s="17"/>
      <c r="N117" s="3831"/>
      <c r="O117" s="3833"/>
      <c r="Q117" s="847">
        <v>10</v>
      </c>
      <c r="R117" s="945">
        <f>-SUM(B123:K123)</f>
        <v>0</v>
      </c>
      <c r="S117" s="945">
        <f>SUM(B124:K124)+R117</f>
        <v>0</v>
      </c>
      <c r="Z117" s="2807" t="s">
        <v>6775</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1"/>
      <c r="O118" s="3833"/>
      <c r="Z118" s="2807" t="s">
        <v>6775</v>
      </c>
      <c r="AA118" s="1787">
        <v>118</v>
      </c>
    </row>
    <row r="119" spans="1:27" ht="13.35" customHeight="1">
      <c r="A119" s="21" t="s">
        <v>1157</v>
      </c>
      <c r="B119" s="22">
        <f>SUM(B114:B118)</f>
        <v>-36619.455725720407</v>
      </c>
      <c r="C119" s="22">
        <f>SUM(C114:C118)</f>
        <v>-43711.358250169898</v>
      </c>
      <c r="D119" s="22">
        <f>SUM(D114:D118)</f>
        <v>-51135.436627405761</v>
      </c>
      <c r="E119" s="22">
        <f>SUM(E114:E118)</f>
        <v>-58904.493308553865</v>
      </c>
      <c r="F119" s="1299">
        <f>SUM(F114:F118)</f>
        <v>-67031.702761782653</v>
      </c>
      <c r="G119" s="17"/>
      <c r="H119" s="17"/>
      <c r="I119" s="17"/>
      <c r="J119" s="17"/>
      <c r="K119" s="17"/>
      <c r="N119" s="3831"/>
      <c r="O119" s="3833"/>
      <c r="Z119" s="2807" t="s">
        <v>6775</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31"/>
      <c r="O120" s="3833"/>
      <c r="Z120" s="2807" t="s">
        <v>6775</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1"/>
      <c r="O121" s="3833"/>
      <c r="Z121" s="2807" t="s">
        <v>6775</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1"/>
      <c r="O122" s="3833"/>
      <c r="Z122" s="2807" t="s">
        <v>6775</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1"/>
      <c r="O123" s="3833"/>
      <c r="Z123" s="2807" t="s">
        <v>6775</v>
      </c>
      <c r="AA123" s="1787">
        <v>123</v>
      </c>
    </row>
    <row r="124" spans="1:27" ht="13.35" customHeight="1">
      <c r="A124" s="21" t="s">
        <v>733</v>
      </c>
      <c r="B124" s="2946"/>
      <c r="C124" s="2946"/>
      <c r="D124" s="2946"/>
      <c r="E124" s="2946"/>
      <c r="F124" s="2946"/>
      <c r="G124" s="17"/>
      <c r="H124" s="17"/>
      <c r="I124" s="17"/>
      <c r="J124" s="17"/>
      <c r="K124" s="17"/>
      <c r="N124" s="3831"/>
      <c r="O124" s="3833"/>
      <c r="Z124" s="2807" t="s">
        <v>6775</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31"/>
      <c r="O125" s="3833"/>
      <c r="Z125" s="2807" t="s">
        <v>6775</v>
      </c>
      <c r="AA125" s="1788">
        <v>125</v>
      </c>
    </row>
    <row r="126" spans="1:27" ht="13.35" customHeight="1">
      <c r="A126" s="21" t="s">
        <v>1122</v>
      </c>
      <c r="B126" s="22">
        <f>SUM(B119:B125)</f>
        <v>-44119.455725720407</v>
      </c>
      <c r="C126" s="22">
        <f>SUM(C119:C125)</f>
        <v>-51211.358250169898</v>
      </c>
      <c r="D126" s="22">
        <f>SUM(D119:D125)</f>
        <v>-58635.436627405761</v>
      </c>
      <c r="E126" s="22">
        <f>SUM(E119:E125)</f>
        <v>-66404.493308553865</v>
      </c>
      <c r="F126" s="23">
        <f>SUM(F119:F125)</f>
        <v>-74531.702761782653</v>
      </c>
      <c r="G126" s="17"/>
      <c r="H126" s="17"/>
      <c r="I126" s="17"/>
      <c r="J126" s="17"/>
      <c r="K126" s="17"/>
      <c r="N126" s="3831"/>
      <c r="O126" s="3833"/>
      <c r="Z126" s="2807" t="s">
        <v>6775</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1"/>
      <c r="O127" s="3833"/>
      <c r="Z127" s="2807"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1"/>
      <c r="O128" s="3833"/>
      <c r="Z128" s="2807"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1"/>
      <c r="O129" s="3833"/>
      <c r="Z129" s="2807"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1"/>
      <c r="O130" s="3833"/>
      <c r="Z130" s="2807" t="s">
        <v>6775</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1"/>
      <c r="O131" s="3833"/>
      <c r="Z131" s="2807" t="s">
        <v>6775</v>
      </c>
      <c r="AA131" s="1788">
        <v>131</v>
      </c>
    </row>
    <row r="132" spans="1:27" ht="13.35" customHeight="1">
      <c r="A132" s="21" t="s">
        <v>740</v>
      </c>
      <c r="B132" s="263">
        <f>IF(OR(B116="Choose mgt fee",B116="Choose One!"),"",(B109+B110+B111+B112+B113) / -(B115+B116+B117))</f>
        <v>0.9424143930232538</v>
      </c>
      <c r="C132" s="263">
        <f>IF(OR(C116="Choose mgt fee",C116="Choose One!"),"",(C109+C110+C111+C112+C113) / -(C115+C116+C117))</f>
        <v>0.9332641972786857</v>
      </c>
      <c r="D132" s="263">
        <f>IF(OR(D116="Choose mgt fee",D116="Choose One!"),"",(D109+D110+D111+D112+D113) / -(D115+D116+D117))</f>
        <v>0.92420346202453074</v>
      </c>
      <c r="E132" s="263">
        <f>IF(OR(E116="Choose mgt fee",E116="Choose One!"),"",(E109+E110+E111+E112+E113) / -(E115+E116+E117))</f>
        <v>0.91523069190502582</v>
      </c>
      <c r="F132" s="567">
        <f>IF(OR(F116="Choose mgt fee",F116="Choose One!"),"",(F109+F110+F111+F112+F113) / -(F115+F116+F117))</f>
        <v>0.90634455180710105</v>
      </c>
      <c r="G132" s="17"/>
      <c r="H132" s="17"/>
      <c r="I132" s="17"/>
      <c r="J132" s="17"/>
      <c r="K132" s="17"/>
      <c r="N132" s="3831"/>
      <c r="O132" s="3833"/>
      <c r="Z132" s="2807" t="s">
        <v>6775</v>
      </c>
      <c r="AA132" s="1787">
        <v>132</v>
      </c>
    </row>
    <row r="133" spans="1:27" ht="13.35" customHeight="1">
      <c r="A133" s="409" t="s">
        <v>2493</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31"/>
      <c r="O133" s="3833"/>
      <c r="Z133" s="2807" t="s">
        <v>6775</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1"/>
      <c r="O134" s="3833"/>
      <c r="Z134" s="2807" t="s">
        <v>6775</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1"/>
      <c r="O135" s="3833"/>
      <c r="Z135" s="2807" t="s">
        <v>6775</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3"/>
      <c r="O136" s="3845"/>
      <c r="Z136" s="2807"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3208</v>
      </c>
      <c r="B140" s="3945"/>
      <c r="C140" s="3945"/>
      <c r="D140" s="3945"/>
      <c r="E140" s="3945"/>
      <c r="F140" s="3946"/>
      <c r="G140" s="3947"/>
      <c r="H140" s="3948"/>
      <c r="I140" s="3948"/>
      <c r="J140" s="3948"/>
      <c r="K140" s="3949"/>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12hPQluCEfDiDYs4qYGhsx7UTm6ud/Gc4ydTwr7jntdpdoRxJniE6lE5RjbHkkGNP5aTx+0J43pRgWGZdulDCw==" saltValue="dVGHm9RoUvc3Sp0rs3liRA=="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2021-050 Sparrow Pointe, Rome, Floyd County</v>
      </c>
      <c r="B1" s="3601"/>
      <c r="C1" s="3601"/>
      <c r="D1" s="3601"/>
      <c r="E1" s="3601"/>
      <c r="F1" s="3601"/>
      <c r="G1" s="3601"/>
      <c r="H1" s="3601"/>
      <c r="I1" s="3601"/>
      <c r="J1" s="3601"/>
      <c r="K1" s="3601"/>
      <c r="L1" s="3601"/>
      <c r="M1" s="3601"/>
      <c r="N1" s="3601"/>
      <c r="O1" s="3601"/>
      <c r="P1" s="3601"/>
      <c r="Q1" s="3601"/>
      <c r="R1" s="4062" t="str">
        <f>'Part I-Project Information'!$B$7</f>
        <v>2021 Core Application</v>
      </c>
      <c r="S1" s="4062"/>
    </row>
    <row r="2" spans="1:32" s="27" customFormat="1" ht="3" customHeight="1">
      <c r="R2" s="4062"/>
      <c r="S2" s="4062"/>
      <c r="AE2" s="115"/>
      <c r="AF2" s="115"/>
    </row>
    <row r="3" spans="1:32" ht="13.5" customHeight="1">
      <c r="A3" s="408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5"/>
      <c r="C3" s="4085"/>
      <c r="D3" s="4085"/>
      <c r="E3" s="4085"/>
      <c r="F3" s="4085"/>
      <c r="G3" s="4085"/>
      <c r="H3" s="408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5"/>
      <c r="J3" s="4085"/>
      <c r="K3" s="4085"/>
      <c r="L3" s="4085"/>
      <c r="M3" s="4085"/>
      <c r="N3" s="4086"/>
      <c r="O3" s="4087" t="s">
        <v>900</v>
      </c>
      <c r="P3" s="4088"/>
      <c r="Q3" s="2950" t="s">
        <v>1758</v>
      </c>
      <c r="R3" s="4062"/>
      <c r="S3" s="4062"/>
    </row>
    <row r="4" spans="1:32" ht="3" customHeight="1">
      <c r="A4" s="1401"/>
      <c r="B4" s="4089"/>
      <c r="C4" s="4089"/>
      <c r="D4" s="4089"/>
      <c r="E4" s="1401"/>
      <c r="F4" s="1401"/>
      <c r="G4" s="1401"/>
      <c r="H4" s="1401"/>
      <c r="I4" s="1401"/>
      <c r="J4" s="1401"/>
      <c r="K4" s="1401"/>
      <c r="L4" s="1401"/>
      <c r="M4" s="1401"/>
      <c r="N4" s="1401"/>
      <c r="P4" s="1401"/>
      <c r="Q4" s="1401"/>
      <c r="R4" s="4062"/>
      <c r="S4" s="4062"/>
    </row>
    <row r="5" spans="1:32" ht="11.1" hidden="1" customHeight="1">
      <c r="A5" s="1401"/>
      <c r="B5" s="1401"/>
      <c r="C5" s="1401"/>
      <c r="D5" s="1401"/>
      <c r="E5" s="1401"/>
      <c r="F5" s="1401"/>
      <c r="G5" s="1401"/>
      <c r="H5" s="1401"/>
      <c r="I5" s="1401"/>
      <c r="J5" s="1401"/>
      <c r="K5" s="1401"/>
      <c r="L5" s="1401"/>
      <c r="M5" s="1401"/>
      <c r="N5" s="1401"/>
      <c r="P5" s="1401"/>
      <c r="Q5" s="1401"/>
      <c r="R5" s="4062"/>
      <c r="S5" s="4062"/>
    </row>
    <row r="6" spans="1:32" ht="17.25" customHeight="1">
      <c r="A6" s="124" t="s">
        <v>538</v>
      </c>
      <c r="J6" s="4092" t="s">
        <v>3417</v>
      </c>
      <c r="K6" s="4092"/>
      <c r="L6" s="4092"/>
      <c r="M6" s="4092"/>
      <c r="N6" s="4092"/>
      <c r="O6" s="4093"/>
      <c r="P6" s="4090"/>
      <c r="Q6" s="4091"/>
      <c r="R6" s="4062"/>
      <c r="S6" s="4062"/>
    </row>
    <row r="7" spans="1:32" ht="12.6" customHeight="1">
      <c r="A7" s="125" t="s">
        <v>3187</v>
      </c>
      <c r="C7" s="126"/>
      <c r="D7" s="126"/>
      <c r="H7" s="1069"/>
      <c r="I7" s="1069"/>
      <c r="J7" s="1069"/>
      <c r="K7" s="1069"/>
      <c r="L7" s="1069"/>
      <c r="M7" s="1401"/>
      <c r="N7" s="1401"/>
    </row>
    <row r="8" spans="1:32" ht="24.6" customHeight="1">
      <c r="A8" s="4094" t="s">
        <v>1358</v>
      </c>
      <c r="B8" s="4095"/>
      <c r="C8" s="4095"/>
      <c r="D8" s="4095"/>
      <c r="E8" s="4095"/>
      <c r="F8" s="4095"/>
      <c r="G8" s="4095"/>
      <c r="H8" s="4095"/>
      <c r="I8" s="4095"/>
      <c r="J8" s="4095"/>
      <c r="K8" s="4095"/>
      <c r="L8" s="4095"/>
      <c r="M8" s="4095"/>
      <c r="N8" s="4095"/>
      <c r="O8" s="4095"/>
      <c r="P8" s="4095"/>
      <c r="Q8" s="4096"/>
      <c r="R8" s="3917" t="s">
        <v>1940</v>
      </c>
      <c r="S8" s="3132"/>
    </row>
    <row r="9" spans="1:32" ht="24.6" customHeight="1">
      <c r="A9" s="4065" t="s">
        <v>217</v>
      </c>
      <c r="B9" s="4066"/>
      <c r="C9" s="4066"/>
      <c r="D9" s="4066"/>
      <c r="E9" s="4066"/>
      <c r="F9" s="4066"/>
      <c r="G9" s="4066"/>
      <c r="H9" s="4066"/>
      <c r="I9" s="4066"/>
      <c r="J9" s="4066"/>
      <c r="K9" s="4066"/>
      <c r="L9" s="4066"/>
      <c r="M9" s="4066"/>
      <c r="N9" s="4066"/>
      <c r="O9" s="4066"/>
      <c r="P9" s="4066"/>
      <c r="Q9" s="4067"/>
      <c r="R9" s="3917"/>
      <c r="S9" s="3132"/>
    </row>
    <row r="10" spans="1:32" ht="24.6" customHeight="1">
      <c r="A10" s="4065" t="s">
        <v>1354</v>
      </c>
      <c r="B10" s="4066"/>
      <c r="C10" s="4066"/>
      <c r="D10" s="4066"/>
      <c r="E10" s="4066"/>
      <c r="F10" s="4066"/>
      <c r="G10" s="4066"/>
      <c r="H10" s="4066"/>
      <c r="I10" s="4066"/>
      <c r="J10" s="4066"/>
      <c r="K10" s="4066"/>
      <c r="L10" s="4066"/>
      <c r="M10" s="4066"/>
      <c r="N10" s="4066"/>
      <c r="O10" s="4066"/>
      <c r="P10" s="4066"/>
      <c r="Q10" s="4067"/>
      <c r="R10" s="3917"/>
      <c r="S10" s="3132"/>
    </row>
    <row r="11" spans="1:32" ht="24.6" customHeight="1">
      <c r="A11" s="4065" t="s">
        <v>1355</v>
      </c>
      <c r="B11" s="4066"/>
      <c r="C11" s="4066"/>
      <c r="D11" s="4066"/>
      <c r="E11" s="4066"/>
      <c r="F11" s="4066"/>
      <c r="G11" s="4066"/>
      <c r="H11" s="4066"/>
      <c r="I11" s="4066"/>
      <c r="J11" s="4066"/>
      <c r="K11" s="4066"/>
      <c r="L11" s="4066"/>
      <c r="M11" s="4066"/>
      <c r="N11" s="4066"/>
      <c r="O11" s="4066"/>
      <c r="P11" s="4066"/>
      <c r="Q11" s="4067"/>
      <c r="R11" s="3917"/>
      <c r="S11" s="3132"/>
    </row>
    <row r="12" spans="1:32" ht="24" customHeight="1">
      <c r="A12" s="4065" t="s">
        <v>1356</v>
      </c>
      <c r="B12" s="4066"/>
      <c r="C12" s="4066"/>
      <c r="D12" s="4066"/>
      <c r="E12" s="4066"/>
      <c r="F12" s="4066"/>
      <c r="G12" s="4066"/>
      <c r="H12" s="4066"/>
      <c r="I12" s="4066"/>
      <c r="J12" s="4066"/>
      <c r="K12" s="4066"/>
      <c r="L12" s="4066"/>
      <c r="M12" s="4066"/>
      <c r="N12" s="4066"/>
      <c r="O12" s="4066"/>
      <c r="P12" s="4066"/>
      <c r="Q12" s="4067"/>
      <c r="R12" s="2617"/>
      <c r="S12" s="2617"/>
    </row>
    <row r="13" spans="1:32" ht="11.25" customHeight="1">
      <c r="A13" s="4065" t="s">
        <v>1357</v>
      </c>
      <c r="B13" s="4066"/>
      <c r="C13" s="4066"/>
      <c r="D13" s="4066"/>
      <c r="E13" s="4066"/>
      <c r="F13" s="4066"/>
      <c r="G13" s="4066"/>
      <c r="H13" s="4066"/>
      <c r="I13" s="4066"/>
      <c r="J13" s="4066"/>
      <c r="K13" s="4066"/>
      <c r="L13" s="4066"/>
      <c r="M13" s="4066"/>
      <c r="N13" s="4066"/>
      <c r="O13" s="4066"/>
      <c r="P13" s="4066"/>
      <c r="Q13" s="4067"/>
      <c r="R13" s="2617"/>
      <c r="S13" s="2617"/>
    </row>
    <row r="14" spans="1:32" ht="11.25" customHeight="1">
      <c r="A14" s="4065" t="s">
        <v>1359</v>
      </c>
      <c r="B14" s="4066"/>
      <c r="C14" s="4066"/>
      <c r="D14" s="4066"/>
      <c r="E14" s="4066"/>
      <c r="F14" s="4066"/>
      <c r="G14" s="4066"/>
      <c r="H14" s="4066"/>
      <c r="I14" s="4066"/>
      <c r="J14" s="4066"/>
      <c r="K14" s="4066"/>
      <c r="L14" s="4066"/>
      <c r="M14" s="4066"/>
      <c r="N14" s="4066"/>
      <c r="O14" s="4066"/>
      <c r="P14" s="4066"/>
      <c r="Q14" s="4067"/>
    </row>
    <row r="15" spans="1:32" ht="11.25" customHeight="1">
      <c r="A15" s="4065" t="s">
        <v>1927</v>
      </c>
      <c r="B15" s="4066"/>
      <c r="C15" s="4066"/>
      <c r="D15" s="4066"/>
      <c r="E15" s="4066"/>
      <c r="F15" s="4066"/>
      <c r="G15" s="4066"/>
      <c r="H15" s="4066"/>
      <c r="I15" s="4066"/>
      <c r="J15" s="4066"/>
      <c r="K15" s="4066"/>
      <c r="L15" s="4066"/>
      <c r="M15" s="4066"/>
      <c r="N15" s="4066"/>
      <c r="O15" s="4066"/>
      <c r="P15" s="4066"/>
      <c r="Q15" s="4067"/>
      <c r="R15" s="3917"/>
      <c r="S15" s="3377"/>
    </row>
    <row r="16" spans="1:32" ht="11.25" customHeight="1">
      <c r="A16" s="4065" t="s">
        <v>1928</v>
      </c>
      <c r="B16" s="4066"/>
      <c r="C16" s="4066"/>
      <c r="D16" s="4066"/>
      <c r="E16" s="4066"/>
      <c r="F16" s="4066"/>
      <c r="G16" s="4066"/>
      <c r="H16" s="4066"/>
      <c r="I16" s="4066"/>
      <c r="J16" s="4066"/>
      <c r="K16" s="4066"/>
      <c r="L16" s="4066"/>
      <c r="M16" s="4066"/>
      <c r="N16" s="4066"/>
      <c r="O16" s="4066"/>
      <c r="P16" s="4066"/>
      <c r="Q16" s="4067"/>
      <c r="R16" s="3917"/>
      <c r="S16" s="3377"/>
    </row>
    <row r="17" spans="1:31" ht="11.25" customHeight="1">
      <c r="A17" s="4065" t="s">
        <v>1929</v>
      </c>
      <c r="B17" s="4066"/>
      <c r="C17" s="4066"/>
      <c r="D17" s="4066"/>
      <c r="E17" s="4066"/>
      <c r="F17" s="4066"/>
      <c r="G17" s="4066"/>
      <c r="H17" s="4066"/>
      <c r="I17" s="4066"/>
      <c r="J17" s="4066"/>
      <c r="K17" s="4066"/>
      <c r="L17" s="4066"/>
      <c r="M17" s="4066"/>
      <c r="N17" s="4066"/>
      <c r="O17" s="4066"/>
      <c r="P17" s="4066"/>
      <c r="Q17" s="4067"/>
      <c r="R17" s="3917"/>
      <c r="S17" s="3377"/>
    </row>
    <row r="18" spans="1:31" ht="11.25" customHeight="1">
      <c r="A18" s="4065" t="s">
        <v>1930</v>
      </c>
      <c r="B18" s="4066"/>
      <c r="C18" s="4066"/>
      <c r="D18" s="4066"/>
      <c r="E18" s="4066"/>
      <c r="F18" s="4066"/>
      <c r="G18" s="4066"/>
      <c r="H18" s="4066"/>
      <c r="I18" s="4066"/>
      <c r="J18" s="4066"/>
      <c r="K18" s="4066"/>
      <c r="L18" s="4066"/>
      <c r="M18" s="4066"/>
      <c r="N18" s="4066"/>
      <c r="O18" s="4066"/>
      <c r="P18" s="4066"/>
      <c r="Q18" s="4067"/>
      <c r="R18" s="3917"/>
      <c r="S18" s="3377"/>
    </row>
    <row r="19" spans="1:31" ht="11.25" customHeight="1">
      <c r="A19" s="4065" t="s">
        <v>1931</v>
      </c>
      <c r="B19" s="4066"/>
      <c r="C19" s="4066"/>
      <c r="D19" s="4066"/>
      <c r="E19" s="4066"/>
      <c r="F19" s="4066"/>
      <c r="G19" s="4066"/>
      <c r="H19" s="4066"/>
      <c r="I19" s="4066"/>
      <c r="J19" s="4066"/>
      <c r="K19" s="4066"/>
      <c r="L19" s="4066"/>
      <c r="M19" s="4066"/>
      <c r="N19" s="4066"/>
      <c r="O19" s="4066"/>
      <c r="P19" s="4066"/>
      <c r="Q19" s="4067"/>
      <c r="R19" s="3917"/>
      <c r="S19" s="3377"/>
    </row>
    <row r="20" spans="1:31" ht="11.25" customHeight="1">
      <c r="A20" s="4065" t="s">
        <v>1932</v>
      </c>
      <c r="B20" s="4066"/>
      <c r="C20" s="4066"/>
      <c r="D20" s="4066"/>
      <c r="E20" s="4066"/>
      <c r="F20" s="4066"/>
      <c r="G20" s="4066"/>
      <c r="H20" s="4066"/>
      <c r="I20" s="4066"/>
      <c r="J20" s="4066"/>
      <c r="K20" s="4066"/>
      <c r="L20" s="4066"/>
      <c r="M20" s="4066"/>
      <c r="N20" s="4066"/>
      <c r="O20" s="4066"/>
      <c r="P20" s="4066"/>
      <c r="Q20" s="4067"/>
      <c r="R20" s="3917"/>
      <c r="S20" s="3377"/>
    </row>
    <row r="21" spans="1:31" ht="11.25" customHeight="1">
      <c r="A21" s="4065" t="s">
        <v>1933</v>
      </c>
      <c r="B21" s="4066"/>
      <c r="C21" s="4066"/>
      <c r="D21" s="4066"/>
      <c r="E21" s="4066"/>
      <c r="F21" s="4066"/>
      <c r="G21" s="4066"/>
      <c r="H21" s="4066"/>
      <c r="I21" s="4066"/>
      <c r="J21" s="4066"/>
      <c r="K21" s="4066"/>
      <c r="L21" s="4066"/>
      <c r="M21" s="4066"/>
      <c r="N21" s="4066"/>
      <c r="O21" s="4066"/>
      <c r="P21" s="4066"/>
      <c r="Q21" s="4067"/>
    </row>
    <row r="22" spans="1:31" ht="11.25" customHeight="1">
      <c r="A22" s="4065" t="s">
        <v>1934</v>
      </c>
      <c r="B22" s="4066"/>
      <c r="C22" s="4066"/>
      <c r="D22" s="4066"/>
      <c r="E22" s="4066"/>
      <c r="F22" s="4066"/>
      <c r="G22" s="4066"/>
      <c r="H22" s="4066"/>
      <c r="I22" s="4066"/>
      <c r="J22" s="4066"/>
      <c r="K22" s="4066"/>
      <c r="L22" s="4066"/>
      <c r="M22" s="4066"/>
      <c r="N22" s="4066"/>
      <c r="O22" s="4066"/>
      <c r="P22" s="4066"/>
      <c r="Q22" s="4067"/>
      <c r="R22" s="3917"/>
      <c r="S22" s="3377"/>
    </row>
    <row r="23" spans="1:31" ht="11.25" customHeight="1">
      <c r="A23" s="4065" t="s">
        <v>1935</v>
      </c>
      <c r="B23" s="4066"/>
      <c r="C23" s="4066"/>
      <c r="D23" s="4066"/>
      <c r="E23" s="4066"/>
      <c r="F23" s="4066"/>
      <c r="G23" s="4066"/>
      <c r="H23" s="4066"/>
      <c r="I23" s="4066"/>
      <c r="J23" s="4066"/>
      <c r="K23" s="4066"/>
      <c r="L23" s="4066"/>
      <c r="M23" s="4066"/>
      <c r="N23" s="4066"/>
      <c r="O23" s="4066"/>
      <c r="P23" s="4066"/>
      <c r="Q23" s="4067"/>
      <c r="R23" s="3917"/>
      <c r="S23" s="3377"/>
    </row>
    <row r="24" spans="1:31" ht="11.25" customHeight="1">
      <c r="A24" s="4065" t="s">
        <v>1936</v>
      </c>
      <c r="B24" s="4066"/>
      <c r="C24" s="4066"/>
      <c r="D24" s="4066"/>
      <c r="E24" s="4066"/>
      <c r="F24" s="4066"/>
      <c r="G24" s="4066"/>
      <c r="H24" s="4066"/>
      <c r="I24" s="4066"/>
      <c r="J24" s="4066"/>
      <c r="K24" s="4066"/>
      <c r="L24" s="4066"/>
      <c r="M24" s="4066"/>
      <c r="N24" s="4066"/>
      <c r="O24" s="4066"/>
      <c r="P24" s="4066"/>
      <c r="Q24" s="4067"/>
      <c r="R24" s="3917"/>
      <c r="S24" s="3377"/>
    </row>
    <row r="25" spans="1:31" ht="11.25" customHeight="1">
      <c r="A25" s="4065" t="s">
        <v>1937</v>
      </c>
      <c r="B25" s="4066"/>
      <c r="C25" s="4066"/>
      <c r="D25" s="4066"/>
      <c r="E25" s="4066"/>
      <c r="F25" s="4066"/>
      <c r="G25" s="4066"/>
      <c r="H25" s="4066"/>
      <c r="I25" s="4066"/>
      <c r="J25" s="4066"/>
      <c r="K25" s="4066"/>
      <c r="L25" s="4066"/>
      <c r="M25" s="4066"/>
      <c r="N25" s="4066"/>
      <c r="O25" s="4066"/>
      <c r="P25" s="4066"/>
      <c r="Q25" s="4067"/>
      <c r="R25" s="3917"/>
      <c r="S25" s="3377"/>
    </row>
    <row r="26" spans="1:31" ht="11.25" customHeight="1">
      <c r="A26" s="4065" t="s">
        <v>1938</v>
      </c>
      <c r="B26" s="4066"/>
      <c r="C26" s="4066"/>
      <c r="D26" s="4066"/>
      <c r="E26" s="4066"/>
      <c r="F26" s="4066"/>
      <c r="G26" s="4066"/>
      <c r="H26" s="4066"/>
      <c r="I26" s="4066"/>
      <c r="J26" s="4066"/>
      <c r="K26" s="4066"/>
      <c r="L26" s="4066"/>
      <c r="M26" s="4066"/>
      <c r="N26" s="4066"/>
      <c r="O26" s="4066"/>
      <c r="P26" s="4066"/>
      <c r="Q26" s="4067"/>
      <c r="R26" s="3917"/>
      <c r="S26" s="3377"/>
    </row>
    <row r="27" spans="1:31" ht="11.25" customHeight="1">
      <c r="A27" s="4068" t="s">
        <v>1939</v>
      </c>
      <c r="B27" s="4069"/>
      <c r="C27" s="4069"/>
      <c r="D27" s="4069"/>
      <c r="E27" s="4069"/>
      <c r="F27" s="4069"/>
      <c r="G27" s="4069"/>
      <c r="H27" s="4069"/>
      <c r="I27" s="4069"/>
      <c r="J27" s="4069"/>
      <c r="K27" s="4069"/>
      <c r="L27" s="4069"/>
      <c r="M27" s="4069"/>
      <c r="N27" s="4069"/>
      <c r="O27" s="4069"/>
      <c r="P27" s="4069"/>
      <c r="Q27" s="4070"/>
      <c r="R27" s="3917"/>
      <c r="S27" s="3377"/>
    </row>
    <row r="28" spans="1:31" ht="6" customHeight="1"/>
    <row r="29" spans="1:31" ht="14.1" customHeight="1">
      <c r="A29" s="127" t="s">
        <v>586</v>
      </c>
      <c r="B29" s="128" t="s">
        <v>2510</v>
      </c>
      <c r="C29" s="129"/>
      <c r="D29" s="86"/>
      <c r="E29" s="86"/>
      <c r="F29" s="86"/>
      <c r="G29" s="86"/>
      <c r="I29" s="2667"/>
      <c r="J29" s="2667"/>
      <c r="K29" s="2667"/>
      <c r="L29" s="1401"/>
      <c r="M29" s="1401"/>
      <c r="O29" s="130" t="s">
        <v>1781</v>
      </c>
      <c r="P29" s="3962"/>
      <c r="Q29" s="3963"/>
    </row>
    <row r="30" spans="1:31" ht="3" customHeight="1"/>
    <row r="31" spans="1:31" ht="11.25" customHeight="1">
      <c r="B31" s="66" t="s">
        <v>3372</v>
      </c>
      <c r="C31" s="66"/>
      <c r="D31" s="66"/>
      <c r="E31" s="66"/>
      <c r="F31" s="66"/>
      <c r="G31" s="2667"/>
      <c r="H31" s="2667"/>
      <c r="I31" s="2667"/>
      <c r="J31" s="2667"/>
      <c r="K31" s="1401"/>
      <c r="L31" s="1401"/>
      <c r="M31" s="1401"/>
      <c r="N31" s="1401"/>
      <c r="O31" s="1401"/>
      <c r="P31" s="782"/>
      <c r="S31" s="156"/>
      <c r="T31" s="156"/>
    </row>
    <row r="32" spans="1:31" ht="108.75" customHeight="1">
      <c r="A32" s="3959" t="s">
        <v>6928</v>
      </c>
      <c r="B32" s="3960"/>
      <c r="C32" s="3960"/>
      <c r="D32" s="3960"/>
      <c r="E32" s="3960"/>
      <c r="F32" s="3960"/>
      <c r="G32" s="3960"/>
      <c r="H32" s="3960"/>
      <c r="I32" s="3960"/>
      <c r="J32" s="3960"/>
      <c r="K32" s="3960"/>
      <c r="L32" s="3960"/>
      <c r="M32" s="3960"/>
      <c r="N32" s="3960"/>
      <c r="O32" s="3960"/>
      <c r="P32" s="3960"/>
      <c r="Q32" s="3961"/>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1"/>
      <c r="B34" s="4071"/>
      <c r="C34" s="4071"/>
      <c r="D34" s="4071"/>
      <c r="E34" s="4071"/>
      <c r="F34" s="4071"/>
      <c r="G34" s="4071"/>
      <c r="H34" s="4071"/>
      <c r="I34" s="4071"/>
      <c r="J34" s="4071"/>
      <c r="K34" s="4071"/>
      <c r="L34" s="4071"/>
      <c r="M34" s="4071"/>
      <c r="N34" s="4071"/>
      <c r="O34" s="4071"/>
      <c r="P34" s="4071"/>
      <c r="Q34" s="4071"/>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2"/>
      <c r="Q36" s="3963"/>
    </row>
    <row r="37" spans="1:295" ht="11.25" customHeight="1">
      <c r="A37" s="4084"/>
      <c r="B37" s="4084"/>
      <c r="C37" s="4084"/>
      <c r="D37" s="4084"/>
      <c r="E37" s="4084"/>
      <c r="F37" s="1324"/>
      <c r="G37" s="4072" t="s">
        <v>2562</v>
      </c>
      <c r="H37" s="4073"/>
      <c r="I37" s="559"/>
      <c r="J37" s="42"/>
      <c r="K37" s="4074" t="s">
        <v>3286</v>
      </c>
      <c r="L37" s="4075"/>
      <c r="M37" s="4075"/>
      <c r="N37" s="4076"/>
    </row>
    <row r="38" spans="1:295" ht="11.25" customHeight="1">
      <c r="A38" s="4084"/>
      <c r="B38" s="4084"/>
      <c r="C38" s="4084"/>
      <c r="D38" s="4084"/>
      <c r="E38" s="4084"/>
      <c r="F38" s="1324"/>
      <c r="G38" s="4077" t="s">
        <v>335</v>
      </c>
      <c r="H38" s="4078"/>
      <c r="I38" s="559"/>
      <c r="J38" s="42"/>
      <c r="K38" s="4105" t="s">
        <v>3287</v>
      </c>
      <c r="L38" s="4106"/>
      <c r="M38" s="4106"/>
      <c r="N38" s="4107"/>
      <c r="P38" s="488" t="s">
        <v>2573</v>
      </c>
      <c r="Q38" s="2489" t="s">
        <v>2769</v>
      </c>
    </row>
    <row r="39" spans="1:295" ht="4.5" customHeight="1">
      <c r="A39" s="1324"/>
      <c r="B39" s="1324"/>
      <c r="C39" s="1324"/>
      <c r="D39" s="1324"/>
      <c r="E39" s="1324"/>
      <c r="F39" s="1324"/>
      <c r="G39" s="211"/>
      <c r="H39" s="211"/>
      <c r="I39" s="211"/>
      <c r="J39" s="42"/>
      <c r="K39" s="4108"/>
      <c r="L39" s="4108"/>
      <c r="M39" s="4108"/>
      <c r="N39" s="4108"/>
      <c r="P39" s="4081" t="s">
        <v>4132</v>
      </c>
      <c r="Q39" s="4081"/>
    </row>
    <row r="40" spans="1:295" s="82" customFormat="1" ht="10.5" customHeight="1">
      <c r="D40" s="560" t="s">
        <v>2561</v>
      </c>
      <c r="E40" s="35"/>
      <c r="F40" s="561" t="s">
        <v>3188</v>
      </c>
      <c r="G40" s="4109" t="s">
        <v>4077</v>
      </c>
      <c r="H40" s="4109"/>
      <c r="I40" s="4109"/>
      <c r="J40" s="35"/>
      <c r="K40" s="561" t="s">
        <v>3188</v>
      </c>
      <c r="L40" s="4109" t="s">
        <v>4076</v>
      </c>
      <c r="M40" s="4109"/>
      <c r="N40" s="4109"/>
      <c r="O40" s="35"/>
      <c r="P40" s="4081"/>
      <c r="Q40" s="4081"/>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4" t="s">
        <v>3118</v>
      </c>
      <c r="B41" s="4064"/>
      <c r="C41" s="4064"/>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3"/>
      <c r="P41" s="4082"/>
      <c r="Q41" s="4082"/>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4"/>
      <c r="B42" s="4064"/>
      <c r="C42" s="4064"/>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3"/>
      <c r="P42" s="4117" t="str">
        <f>IF('Part I-Project Information'!$F$39="","",VLOOKUP('Part I-Project Information'!$J$40,'DCA Underwriting Assumptions'!$G$174:$N$333,8,FALSE))</f>
        <v>Atlanta</v>
      </c>
      <c r="Q42" s="4118"/>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4"/>
      <c r="B43" s="4064"/>
      <c r="C43" s="4064"/>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3"/>
      <c r="P43" s="4119"/>
      <c r="Q43" s="4120"/>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4"/>
      <c r="B44" s="4064"/>
      <c r="C44" s="4064"/>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3"/>
      <c r="P44" s="4063" t="s">
        <v>4133</v>
      </c>
      <c r="Q44" s="4063"/>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3"/>
      <c r="P45" s="4079">
        <f>'Part IV-A-Uses of Funds'!$G$146</f>
        <v>12387336</v>
      </c>
      <c r="Q45" s="4080"/>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3" t="s">
        <v>4119</v>
      </c>
      <c r="Q46" s="4063"/>
      <c r="R46" s="4083" t="s">
        <v>6610</v>
      </c>
      <c r="S46" s="4083"/>
      <c r="T46" s="4083"/>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4" t="s">
        <v>3113</v>
      </c>
      <c r="B48" s="4064"/>
      <c r="C48" s="4064"/>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9">
        <f>'Part IV-A-Uses of Funds'!$G$146-'Part IV-A-Uses of Funds'!$G$92-'Part IV-A-Uses of Funds'!$G$114-'Part IV-A-Uses of Funds'!$G$130-'Part IV-A-Uses of Funds'!$G$131-'Part IV-A-Uses of Funds'!$G$132</f>
        <v>11998904</v>
      </c>
      <c r="Q48" s="4080"/>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4"/>
      <c r="B49" s="4064"/>
      <c r="C49" s="4064"/>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1" t="s">
        <v>3512</v>
      </c>
      <c r="Q49" s="4121"/>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4"/>
      <c r="B50" s="4064"/>
      <c r="C50" s="4064"/>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2"/>
      <c r="Q50" s="4123"/>
      <c r="R50" s="396"/>
      <c r="S50" s="4137" t="s">
        <v>4122</v>
      </c>
      <c r="T50" s="4138"/>
      <c r="U50" s="4138"/>
      <c r="V50" s="4139"/>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4"/>
      <c r="Q51" s="4125"/>
      <c r="S51" s="4140"/>
      <c r="T51" s="4141"/>
      <c r="U51" s="4141"/>
      <c r="V51" s="4142"/>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10" t="s">
        <v>3282</v>
      </c>
      <c r="Q52" s="4110"/>
      <c r="S52" s="4140"/>
      <c r="T52" s="4141"/>
      <c r="U52" s="4141"/>
      <c r="V52" s="4142"/>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40"/>
      <c r="T53" s="4141"/>
      <c r="U53" s="4141"/>
      <c r="V53" s="4142"/>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40"/>
      <c r="T54" s="4141"/>
      <c r="U54" s="4141"/>
      <c r="V54" s="4142"/>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40"/>
      <c r="T55" s="4141"/>
      <c r="U55" s="4141"/>
      <c r="V55" s="4142"/>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10" t="s">
        <v>3283</v>
      </c>
      <c r="Q56" s="4110"/>
      <c r="S56" s="4140"/>
      <c r="T56" s="4141"/>
      <c r="U56" s="4141"/>
      <c r="V56" s="4142"/>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3009</v>
      </c>
      <c r="Q57" s="954" t="s">
        <v>245</v>
      </c>
      <c r="S57" s="4140"/>
      <c r="T57" s="4141"/>
      <c r="U57" s="4141"/>
      <c r="V57" s="4142"/>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3</v>
      </c>
      <c r="Q58" s="953">
        <f>'Part IX Scoring Criteria'!P108</f>
        <v>0</v>
      </c>
      <c r="S58" s="4140"/>
      <c r="T58" s="4141"/>
      <c r="U58" s="4141"/>
      <c r="V58" s="4142"/>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1" t="s">
        <v>2597</v>
      </c>
      <c r="Q59" s="4111"/>
      <c r="S59" s="4140"/>
      <c r="T59" s="4141"/>
      <c r="U59" s="4141"/>
      <c r="V59" s="4142"/>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11"/>
      <c r="Q60" s="4111"/>
      <c r="S60" s="4140"/>
      <c r="T60" s="4141"/>
      <c r="U60" s="4141"/>
      <c r="V60" s="4142"/>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1"/>
      <c r="Q61" s="4111"/>
      <c r="R61" s="396"/>
      <c r="S61" s="4140"/>
      <c r="T61" s="4141"/>
      <c r="U61" s="4141"/>
      <c r="V61" s="4142"/>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2"/>
      <c r="Q62" s="4112"/>
      <c r="R62" s="396"/>
      <c r="S62" s="4143"/>
      <c r="T62" s="4144"/>
      <c r="U62" s="4144"/>
      <c r="V62" s="4145"/>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10</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10 units = </v>
      </c>
      <c r="I63" s="1323">
        <f>IF(F63="","",F63*G63)</f>
        <v>1953516.5</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3">
        <f>IF(P50&gt;1,P50, IF(OR('Part IX Scoring Criteria'!$O$108='Part IX Scoring Criteria'!$M$108,AND('Part IV-A-Uses of Funds'!$T$185="Yes",'Part IX Scoring Criteria'!$O$330&gt;0)),H69+M69,H69))</f>
        <v>12000192.5</v>
      </c>
      <c r="Q63" s="4114"/>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40</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40 units = </v>
      </c>
      <c r="I64" s="1323">
        <f>IF(F64="","",F64*G64)</f>
        <v>10046676</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15"/>
      <c r="Q64" s="4116"/>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50" t="s">
        <v>3601</v>
      </c>
      <c r="Q65" s="4150"/>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1"/>
      <c r="Q66" s="4151"/>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50</v>
      </c>
      <c r="G67" s="562"/>
      <c r="H67" s="947"/>
      <c r="I67" s="950">
        <f>SUM(I62:I66)</f>
        <v>12000192.5</v>
      </c>
      <c r="J67" s="949"/>
      <c r="K67" s="946">
        <f>SUM(K62:K66)</f>
        <v>0</v>
      </c>
      <c r="L67" s="949"/>
      <c r="M67" s="947"/>
      <c r="N67" s="950">
        <f>SUM(N62:N66)</f>
        <v>0</v>
      </c>
      <c r="O67" s="514"/>
      <c r="P67" s="4151"/>
      <c r="Q67" s="4151"/>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1"/>
      <c r="Q68" s="4151"/>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50</v>
      </c>
      <c r="G69" s="324"/>
      <c r="H69" s="4056">
        <f>I46+I53+I60+I67</f>
        <v>12000192.5</v>
      </c>
      <c r="I69" s="4056"/>
      <c r="J69" s="4056"/>
      <c r="K69" s="553">
        <f>K46+K53+K60+K67</f>
        <v>0</v>
      </c>
      <c r="L69" s="554"/>
      <c r="M69" s="4056">
        <f>N46+N53+N60+N67</f>
        <v>0</v>
      </c>
      <c r="N69" s="4056"/>
      <c r="O69" s="4056"/>
      <c r="P69" s="4151"/>
      <c r="Q69" s="4151"/>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7"/>
      <c r="J70" s="2667"/>
      <c r="K70" s="135" t="s">
        <v>1780</v>
      </c>
      <c r="L70" s="1401"/>
      <c r="M70" s="1401"/>
      <c r="N70" s="1401"/>
      <c r="O70" s="1401"/>
      <c r="P70" s="4152"/>
      <c r="Q70" s="4152"/>
    </row>
    <row r="71" spans="1:295" ht="10.5" customHeight="1">
      <c r="A71" s="3959" t="s">
        <v>6929</v>
      </c>
      <c r="B71" s="3960"/>
      <c r="C71" s="3960"/>
      <c r="D71" s="3960"/>
      <c r="E71" s="3960"/>
      <c r="F71" s="3960"/>
      <c r="G71" s="3960"/>
      <c r="H71" s="3960"/>
      <c r="I71" s="3960"/>
      <c r="J71" s="3961"/>
      <c r="K71" s="3953"/>
      <c r="L71" s="3954"/>
      <c r="M71" s="3954"/>
      <c r="N71" s="3954"/>
      <c r="O71" s="3954"/>
      <c r="P71" s="3954"/>
      <c r="Q71" s="3955"/>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2"/>
      <c r="Q73" s="3963"/>
    </row>
    <row r="74" spans="1:295" ht="12.75" customHeight="1">
      <c r="A74" s="2647"/>
      <c r="B74" s="138" t="s">
        <v>6432</v>
      </c>
      <c r="C74" s="4"/>
      <c r="D74" s="4"/>
      <c r="E74" s="2653"/>
      <c r="F74" s="2653"/>
      <c r="G74" s="956" t="str">
        <f>'Part I-Project Information'!$H$77</f>
        <v>HFOP</v>
      </c>
      <c r="H74" s="2653"/>
      <c r="J74" s="1663" t="str">
        <f>IF(OR(G74="Other Senior/Elderly",G74= "Other Non-Senior"),'Part I-Project Information'!$M$77,"")</f>
        <v/>
      </c>
      <c r="K74" s="956"/>
      <c r="O74" s="130"/>
      <c r="P74" s="130"/>
      <c r="Q74" s="130"/>
    </row>
    <row r="75" spans="1:295" ht="12.75" customHeight="1">
      <c r="A75" s="2647"/>
      <c r="B75" s="138" t="s">
        <v>6433</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3372</v>
      </c>
      <c r="D76" s="94"/>
      <c r="E76" s="94"/>
      <c r="F76" s="94"/>
      <c r="G76" s="94"/>
      <c r="H76" s="40"/>
      <c r="I76" s="2667"/>
      <c r="J76" s="2667"/>
      <c r="K76" s="135" t="s">
        <v>1780</v>
      </c>
      <c r="L76" s="1401"/>
      <c r="M76" s="1401"/>
      <c r="N76" s="1401"/>
      <c r="O76" s="1401"/>
      <c r="P76" s="1401"/>
      <c r="Q76" s="782"/>
    </row>
    <row r="77" spans="1:295" ht="10.5" customHeight="1">
      <c r="A77" s="3959" t="s">
        <v>6930</v>
      </c>
      <c r="B77" s="3960"/>
      <c r="C77" s="3960"/>
      <c r="D77" s="3960"/>
      <c r="E77" s="3960"/>
      <c r="F77" s="3960"/>
      <c r="G77" s="3960"/>
      <c r="H77" s="3960"/>
      <c r="I77" s="3960"/>
      <c r="J77" s="3961"/>
      <c r="K77" s="3953"/>
      <c r="L77" s="3954"/>
      <c r="M77" s="3954"/>
      <c r="N77" s="3954"/>
      <c r="O77" s="3954"/>
      <c r="P77" s="3954"/>
      <c r="Q77" s="3955"/>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3949</v>
      </c>
      <c r="M79" s="1400" t="s">
        <v>3950</v>
      </c>
      <c r="O79" s="130" t="s">
        <v>1781</v>
      </c>
      <c r="P79" s="3962"/>
      <c r="Q79" s="3963"/>
    </row>
    <row r="80" spans="1:295" ht="1.5" customHeight="1"/>
    <row r="81" spans="1:31" ht="12" customHeight="1">
      <c r="A81" s="140" t="s">
        <v>1893</v>
      </c>
      <c r="B81" s="3951" t="s">
        <v>3943</v>
      </c>
      <c r="C81" s="3951"/>
      <c r="D81" s="3951"/>
      <c r="E81" s="3951"/>
      <c r="F81" s="3951"/>
      <c r="G81" s="3951"/>
      <c r="H81" s="3951"/>
      <c r="I81" s="3951"/>
      <c r="J81" s="3951"/>
      <c r="K81" s="146"/>
      <c r="L81" s="420" t="s">
        <v>2698</v>
      </c>
      <c r="M81" s="1289">
        <v>2</v>
      </c>
      <c r="N81" s="382" t="s">
        <v>4223</v>
      </c>
      <c r="P81" s="4100" t="s">
        <v>6931</v>
      </c>
      <c r="Q81" s="3957"/>
    </row>
    <row r="82" spans="1:31" ht="12" customHeight="1">
      <c r="A82" s="140"/>
      <c r="B82" s="3951"/>
      <c r="C82" s="3951"/>
      <c r="D82" s="3951"/>
      <c r="E82" s="3951"/>
      <c r="F82" s="3951"/>
      <c r="G82" s="3951"/>
      <c r="H82" s="3951"/>
      <c r="I82" s="3951"/>
      <c r="J82" s="3951"/>
      <c r="K82" s="146"/>
      <c r="L82" s="420" t="s">
        <v>3948</v>
      </c>
      <c r="M82" s="1290">
        <v>4</v>
      </c>
      <c r="O82" s="141"/>
      <c r="P82" s="4101"/>
      <c r="Q82" s="3958"/>
    </row>
    <row r="83" spans="1:31" ht="12" customHeight="1">
      <c r="A83" s="140"/>
      <c r="D83" s="2661"/>
      <c r="E83" s="2661"/>
      <c r="F83" s="2661"/>
      <c r="G83" s="2661"/>
      <c r="H83" s="2661"/>
      <c r="I83" s="2661"/>
      <c r="J83" s="2661"/>
      <c r="K83" s="146"/>
      <c r="L83" s="451" t="s">
        <v>6410</v>
      </c>
      <c r="M83" s="1290"/>
      <c r="O83" s="141"/>
      <c r="P83" s="2491">
        <v>4</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4224</v>
      </c>
      <c r="O85" s="817"/>
      <c r="P85" s="2492" t="s">
        <v>6993</v>
      </c>
      <c r="Q85" s="2952"/>
    </row>
    <row r="86" spans="1:31" ht="12.75" customHeight="1">
      <c r="A86" s="1254"/>
      <c r="B86" s="1305" t="s">
        <v>1659</v>
      </c>
      <c r="C86" s="382" t="s">
        <v>3952</v>
      </c>
      <c r="D86" s="1256"/>
      <c r="E86" s="1256"/>
      <c r="F86" s="1256"/>
      <c r="G86" s="1256"/>
      <c r="H86" s="1256"/>
      <c r="I86" s="1256"/>
      <c r="J86" s="1256"/>
      <c r="K86" s="1255"/>
      <c r="L86" s="816"/>
      <c r="N86" s="382" t="s">
        <v>4225</v>
      </c>
      <c r="O86" s="817"/>
      <c r="P86" s="2669" t="s">
        <v>6931</v>
      </c>
      <c r="Q86" s="2953"/>
    </row>
    <row r="87" spans="1:31" ht="12.75" customHeight="1">
      <c r="A87" s="1253"/>
      <c r="B87" s="451" t="s">
        <v>1660</v>
      </c>
      <c r="C87" s="382" t="s">
        <v>3953</v>
      </c>
      <c r="E87" s="1256"/>
      <c r="F87" s="1256"/>
      <c r="G87" s="1256"/>
      <c r="H87" s="1256"/>
      <c r="I87" s="1256"/>
      <c r="J87" s="1256"/>
      <c r="K87" s="1255"/>
      <c r="L87" s="816"/>
      <c r="M87" s="817"/>
      <c r="N87" s="382" t="s">
        <v>4226</v>
      </c>
      <c r="O87" s="817"/>
      <c r="P87" s="2669" t="s">
        <v>6931</v>
      </c>
      <c r="Q87" s="2953"/>
    </row>
    <row r="88" spans="1:31" ht="12.75" customHeight="1">
      <c r="A88" s="142"/>
      <c r="B88" s="451" t="s">
        <v>2260</v>
      </c>
      <c r="C88" s="451" t="s">
        <v>3956</v>
      </c>
      <c r="D88" s="132"/>
      <c r="E88" s="132"/>
      <c r="F88" s="132"/>
      <c r="G88" s="132"/>
      <c r="H88" s="132"/>
      <c r="I88" s="42"/>
      <c r="J88" s="42"/>
      <c r="N88" s="382" t="s">
        <v>4227</v>
      </c>
      <c r="O88" s="817"/>
      <c r="P88" s="2668" t="s">
        <v>6938</v>
      </c>
      <c r="Q88" s="2954"/>
    </row>
    <row r="89" spans="1:31" ht="12.75" customHeight="1">
      <c r="A89" s="142"/>
      <c r="B89" s="451"/>
      <c r="C89" s="382" t="s">
        <v>3957</v>
      </c>
      <c r="D89" s="132"/>
      <c r="E89" s="132"/>
      <c r="F89" s="132"/>
      <c r="G89" s="132"/>
      <c r="H89" s="132"/>
      <c r="I89" s="42"/>
      <c r="J89" s="42"/>
      <c r="L89" s="4016"/>
      <c r="M89" s="4017"/>
      <c r="N89" s="4017"/>
      <c r="O89" s="4017"/>
      <c r="P89" s="4017"/>
      <c r="Q89" s="4018"/>
    </row>
    <row r="90" spans="1:31" ht="12.75" customHeight="1">
      <c r="A90" s="142"/>
      <c r="B90" s="451" t="s">
        <v>1487</v>
      </c>
      <c r="C90" s="3951" t="s">
        <v>3954</v>
      </c>
      <c r="D90" s="3951"/>
      <c r="E90" s="3951"/>
      <c r="F90" s="3951"/>
      <c r="G90" s="3951"/>
      <c r="H90" s="3951"/>
      <c r="I90" s="3951"/>
      <c r="J90" s="3951"/>
      <c r="K90" s="3951"/>
      <c r="L90" s="3951"/>
      <c r="M90" s="494"/>
      <c r="N90" s="382" t="s">
        <v>4228</v>
      </c>
      <c r="O90" s="817"/>
      <c r="P90" s="2493" t="s">
        <v>6931</v>
      </c>
      <c r="Q90" s="2955"/>
    </row>
    <row r="91" spans="1:31" ht="12.75" customHeight="1">
      <c r="A91" s="47"/>
      <c r="C91" s="3951"/>
      <c r="D91" s="3951"/>
      <c r="E91" s="3951"/>
      <c r="F91" s="3951"/>
      <c r="G91" s="3951"/>
      <c r="H91" s="3951"/>
      <c r="I91" s="3951"/>
      <c r="J91" s="3951"/>
      <c r="K91" s="3951"/>
      <c r="L91" s="3951"/>
      <c r="M91" s="494"/>
    </row>
    <row r="92" spans="1:31" ht="10.5" customHeight="1">
      <c r="B92" s="94" t="s">
        <v>3372</v>
      </c>
      <c r="D92" s="94"/>
      <c r="E92" s="94"/>
      <c r="F92" s="94"/>
      <c r="G92" s="94"/>
      <c r="H92" s="40"/>
      <c r="I92" s="2667"/>
      <c r="J92" s="2667"/>
      <c r="K92" s="135" t="s">
        <v>1780</v>
      </c>
      <c r="L92" s="1401"/>
      <c r="M92" s="1401"/>
      <c r="N92" s="1401"/>
      <c r="O92" s="1401"/>
      <c r="P92" s="1401"/>
      <c r="Q92" s="782"/>
    </row>
    <row r="93" spans="1:31" ht="28.9" customHeight="1">
      <c r="A93" s="3959" t="s">
        <v>6932</v>
      </c>
      <c r="B93" s="3960"/>
      <c r="C93" s="3960"/>
      <c r="D93" s="3960"/>
      <c r="E93" s="3960"/>
      <c r="F93" s="3960"/>
      <c r="G93" s="3960"/>
      <c r="H93" s="3960"/>
      <c r="I93" s="3960"/>
      <c r="J93" s="3961"/>
      <c r="K93" s="3953"/>
      <c r="L93" s="3954"/>
      <c r="M93" s="3954"/>
      <c r="N93" s="3954"/>
      <c r="O93" s="3954"/>
      <c r="P93" s="3954"/>
      <c r="Q93" s="3955"/>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4219</v>
      </c>
      <c r="C95" s="2647"/>
      <c r="D95" s="2653"/>
      <c r="E95" s="2653"/>
      <c r="F95" s="2653"/>
      <c r="G95" s="2653"/>
      <c r="H95" s="1409" t="str">
        <f>'Part I-Project Information'!$K$41</f>
        <v>Urban</v>
      </c>
      <c r="J95" s="47" t="s">
        <v>4222</v>
      </c>
      <c r="K95" s="557" t="str">
        <f>'Part I-Project Information'!$H$105</f>
        <v>Other Metro</v>
      </c>
      <c r="L95" s="63" t="s">
        <v>3986</v>
      </c>
      <c r="M95" s="1292" t="str">
        <f>'Part I-Project Information'!$H$77</f>
        <v>HFOP</v>
      </c>
      <c r="O95" s="130" t="s">
        <v>1781</v>
      </c>
      <c r="P95" s="3962"/>
      <c r="Q95" s="3963"/>
    </row>
    <row r="96" spans="1:31" ht="3" customHeight="1"/>
    <row r="97" spans="1:32" ht="12.75" customHeight="1">
      <c r="A97" s="47" t="s">
        <v>1893</v>
      </c>
      <c r="B97" s="39" t="s">
        <v>2348</v>
      </c>
      <c r="D97" s="132"/>
      <c r="E97" s="132"/>
      <c r="F97" s="132"/>
      <c r="G97" s="132"/>
      <c r="H97" s="132"/>
      <c r="I97" s="42"/>
      <c r="J97" s="42"/>
      <c r="K97" s="42"/>
      <c r="L97" s="439" t="s">
        <v>1893</v>
      </c>
      <c r="M97" s="4029" t="s">
        <v>6933</v>
      </c>
      <c r="N97" s="4030"/>
      <c r="O97" s="4030"/>
      <c r="P97" s="4061"/>
      <c r="Q97" s="2952"/>
    </row>
    <row r="98" spans="1:32" ht="12.75" customHeight="1">
      <c r="A98" s="47" t="s">
        <v>1895</v>
      </c>
      <c r="B98" s="52" t="s">
        <v>4145</v>
      </c>
      <c r="D98" s="132"/>
      <c r="E98" s="132"/>
      <c r="F98" s="132"/>
      <c r="L98" s="439" t="s">
        <v>1895</v>
      </c>
      <c r="M98" s="4097" t="s">
        <v>6968</v>
      </c>
      <c r="N98" s="4098"/>
      <c r="O98" s="4098"/>
      <c r="P98" s="4099"/>
      <c r="Q98" s="2953"/>
    </row>
    <row r="99" spans="1:32" ht="12.75" customHeight="1">
      <c r="A99" s="47" t="s">
        <v>719</v>
      </c>
      <c r="B99" s="52" t="s">
        <v>2671</v>
      </c>
      <c r="D99" s="132"/>
      <c r="E99" s="132"/>
      <c r="F99" s="132"/>
      <c r="L99" s="439" t="s">
        <v>719</v>
      </c>
      <c r="M99" s="4146">
        <v>0.91200000000000003</v>
      </c>
      <c r="N99" s="4147"/>
      <c r="O99" s="4147"/>
      <c r="P99" s="4148"/>
      <c r="Q99" s="2953"/>
    </row>
    <row r="100" spans="1:32" ht="12.75" customHeight="1">
      <c r="A100" s="47" t="s">
        <v>2021</v>
      </c>
      <c r="B100" s="52" t="s">
        <v>3443</v>
      </c>
      <c r="D100" s="132"/>
      <c r="E100" s="132"/>
      <c r="F100" s="132"/>
      <c r="J100" s="439" t="s">
        <v>3444</v>
      </c>
      <c r="K100" s="2494">
        <v>0.10100000000000001</v>
      </c>
      <c r="L100" s="2956"/>
      <c r="M100" s="1601"/>
      <c r="N100" s="1600"/>
      <c r="O100" s="955" t="s">
        <v>3540</v>
      </c>
      <c r="P100" s="2495" t="s">
        <v>931</v>
      </c>
      <c r="Q100" s="2957"/>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6969</v>
      </c>
      <c r="E103" s="4032" t="s">
        <v>6974</v>
      </c>
      <c r="F103" s="4032"/>
      <c r="G103" s="4032"/>
      <c r="H103" s="65" t="s">
        <v>1660</v>
      </c>
      <c r="I103" s="2496" t="s">
        <v>6970</v>
      </c>
      <c r="J103" s="4032" t="s">
        <v>6975</v>
      </c>
      <c r="K103" s="4032"/>
      <c r="L103" s="4032"/>
      <c r="M103" s="64" t="s">
        <v>1487</v>
      </c>
      <c r="N103" s="2496" t="s">
        <v>6972</v>
      </c>
      <c r="O103" s="4032" t="s">
        <v>6977</v>
      </c>
      <c r="P103" s="4032"/>
      <c r="Q103" s="4032"/>
    </row>
    <row r="104" spans="1:32" ht="12.75" customHeight="1">
      <c r="C104" s="65" t="s">
        <v>1659</v>
      </c>
      <c r="D104" s="2497" t="s">
        <v>6979</v>
      </c>
      <c r="E104" s="3950" t="s">
        <v>6980</v>
      </c>
      <c r="F104" s="3950"/>
      <c r="G104" s="3950"/>
      <c r="H104" s="439" t="s">
        <v>2260</v>
      </c>
      <c r="I104" s="2497" t="s">
        <v>6971</v>
      </c>
      <c r="J104" s="3950" t="s">
        <v>6976</v>
      </c>
      <c r="K104" s="3950"/>
      <c r="L104" s="3950"/>
      <c r="M104" s="64" t="s">
        <v>1488</v>
      </c>
      <c r="N104" s="2497" t="s">
        <v>6973</v>
      </c>
      <c r="O104" s="3950" t="s">
        <v>6978</v>
      </c>
      <c r="P104" s="3950"/>
      <c r="Q104" s="3950"/>
    </row>
    <row r="105" spans="1:32" ht="12.75" customHeight="1">
      <c r="A105" s="47" t="s">
        <v>1657</v>
      </c>
      <c r="B105" s="52" t="s">
        <v>6324</v>
      </c>
      <c r="D105" s="132"/>
      <c r="E105" s="132"/>
      <c r="F105" s="132"/>
      <c r="G105" s="132"/>
      <c r="H105" s="132"/>
      <c r="I105" s="42"/>
      <c r="J105" s="42"/>
      <c r="K105" s="132"/>
      <c r="L105" s="2657"/>
      <c r="M105" s="2657"/>
      <c r="O105" s="439" t="s">
        <v>1657</v>
      </c>
      <c r="P105" s="2666" t="s">
        <v>2769</v>
      </c>
      <c r="Q105" s="2958"/>
    </row>
    <row r="106" spans="1:32" ht="12.75" customHeight="1">
      <c r="A106" s="47" t="s">
        <v>1858</v>
      </c>
      <c r="B106" s="52" t="s">
        <v>6326</v>
      </c>
      <c r="D106" s="132"/>
      <c r="E106" s="132"/>
      <c r="F106" s="132"/>
      <c r="G106" s="132"/>
      <c r="H106" s="132"/>
      <c r="I106" s="42"/>
      <c r="J106" s="42"/>
      <c r="K106" s="132"/>
      <c r="L106" s="2657"/>
      <c r="M106" s="2657"/>
      <c r="O106" s="439" t="s">
        <v>1858</v>
      </c>
      <c r="P106" s="2669" t="s">
        <v>2769</v>
      </c>
      <c r="Q106" s="2953"/>
    </row>
    <row r="107" spans="1:32" ht="10.5" customHeight="1">
      <c r="A107" s="47" t="s">
        <v>3124</v>
      </c>
      <c r="B107" s="52" t="s">
        <v>6328</v>
      </c>
      <c r="D107" s="132"/>
      <c r="E107" s="132"/>
      <c r="F107" s="132"/>
      <c r="G107" s="132"/>
      <c r="H107" s="132"/>
      <c r="I107" s="42"/>
      <c r="J107" s="42"/>
      <c r="K107" s="132"/>
      <c r="L107" s="2657"/>
      <c r="M107" s="2657"/>
      <c r="O107" s="439" t="s">
        <v>3124</v>
      </c>
      <c r="P107" s="2498">
        <v>0.95</v>
      </c>
      <c r="Q107" s="2959"/>
    </row>
    <row r="108" spans="1:32" s="131" customFormat="1" ht="60" customHeight="1">
      <c r="A108" s="140" t="s">
        <v>586</v>
      </c>
      <c r="B108" s="3964" t="s">
        <v>6325</v>
      </c>
      <c r="C108" s="3964"/>
      <c r="D108" s="3964"/>
      <c r="E108" s="3964"/>
      <c r="F108" s="3964"/>
      <c r="G108" s="3964"/>
      <c r="H108" s="3964"/>
      <c r="I108" s="3964"/>
      <c r="J108" s="3964"/>
      <c r="K108" s="3964"/>
      <c r="L108" s="3964"/>
      <c r="M108" s="3964"/>
      <c r="N108" s="3964"/>
      <c r="O108" s="1490" t="s">
        <v>6327</v>
      </c>
      <c r="P108" s="2664" t="s">
        <v>2769</v>
      </c>
      <c r="Q108" s="2960"/>
      <c r="AE108" s="442"/>
      <c r="AF108" s="442"/>
    </row>
    <row r="109" spans="1:32" s="42" customFormat="1" ht="12.75" customHeight="1">
      <c r="A109" s="47"/>
      <c r="B109" s="1305" t="s">
        <v>1659</v>
      </c>
      <c r="C109" s="52" t="s">
        <v>4275</v>
      </c>
      <c r="D109" s="132"/>
      <c r="E109" s="132"/>
      <c r="F109" s="132"/>
      <c r="G109" s="132"/>
      <c r="H109" s="132"/>
      <c r="K109" s="132"/>
      <c r="L109" s="2657"/>
      <c r="M109" s="2657"/>
      <c r="O109" s="439" t="s">
        <v>1659</v>
      </c>
      <c r="P109" s="2668" t="s">
        <v>2772</v>
      </c>
      <c r="Q109" s="2954"/>
      <c r="AE109" s="50"/>
      <c r="AF109" s="50"/>
    </row>
    <row r="110" spans="1:32" ht="9.75" customHeight="1">
      <c r="B110" s="139" t="s">
        <v>3372</v>
      </c>
      <c r="D110" s="139"/>
      <c r="E110" s="139"/>
      <c r="F110" s="139"/>
      <c r="G110" s="139"/>
      <c r="H110" s="40"/>
      <c r="I110" s="2667"/>
      <c r="J110" s="2667"/>
      <c r="K110" s="2667"/>
      <c r="L110" s="1401"/>
      <c r="M110" s="1401"/>
      <c r="N110" s="1401"/>
      <c r="O110" s="1401"/>
      <c r="P110" s="1401"/>
      <c r="Q110" s="782"/>
    </row>
    <row r="111" spans="1:32" ht="59.45" customHeight="1">
      <c r="A111" s="3959" t="s">
        <v>6994</v>
      </c>
      <c r="B111" s="3960"/>
      <c r="C111" s="3960"/>
      <c r="D111" s="3960"/>
      <c r="E111" s="3960"/>
      <c r="F111" s="3960"/>
      <c r="G111" s="3960"/>
      <c r="H111" s="3960"/>
      <c r="I111" s="3960"/>
      <c r="J111" s="3960"/>
      <c r="K111" s="3960"/>
      <c r="L111" s="3960"/>
      <c r="M111" s="3960"/>
      <c r="N111" s="3960"/>
      <c r="O111" s="3960"/>
      <c r="P111" s="3960"/>
      <c r="Q111" s="3961"/>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3"/>
      <c r="B113" s="3954"/>
      <c r="C113" s="3954"/>
      <c r="D113" s="3954"/>
      <c r="E113" s="3954"/>
      <c r="F113" s="3954"/>
      <c r="G113" s="3954"/>
      <c r="H113" s="3954"/>
      <c r="I113" s="3954"/>
      <c r="J113" s="3954"/>
      <c r="K113" s="3954"/>
      <c r="L113" s="3954"/>
      <c r="M113" s="3954"/>
      <c r="N113" s="3954"/>
      <c r="O113" s="3954"/>
      <c r="P113" s="3954"/>
      <c r="Q113" s="3955"/>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2"/>
      <c r="Q114" s="3963"/>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4016"/>
      <c r="N117" s="4017"/>
      <c r="O117" s="4017"/>
      <c r="P117" s="3490"/>
      <c r="Q117" s="2953"/>
    </row>
    <row r="118" spans="1:32" s="42" customFormat="1" ht="12.75" customHeight="1">
      <c r="B118" s="144" t="s">
        <v>1659</v>
      </c>
      <c r="C118" s="36" t="s">
        <v>4012</v>
      </c>
      <c r="O118" s="65" t="s">
        <v>1659</v>
      </c>
      <c r="P118" s="2666"/>
      <c r="Q118" s="2958"/>
      <c r="AE118" s="50"/>
      <c r="AF118" s="50"/>
    </row>
    <row r="119" spans="1:32" s="42" customFormat="1" ht="12.75" customHeight="1">
      <c r="B119" s="1305" t="s">
        <v>1660</v>
      </c>
      <c r="C119" s="36" t="s">
        <v>4256</v>
      </c>
      <c r="O119" s="147" t="s">
        <v>1660</v>
      </c>
      <c r="P119" s="2499"/>
      <c r="Q119" s="2961"/>
      <c r="AE119" s="50"/>
      <c r="AF119" s="50"/>
    </row>
    <row r="120" spans="1:32" ht="12.75" customHeight="1">
      <c r="A120" s="2667"/>
      <c r="B120" s="451" t="s">
        <v>2260</v>
      </c>
      <c r="C120" s="783" t="s">
        <v>3958</v>
      </c>
      <c r="D120" s="901"/>
      <c r="E120" s="901"/>
      <c r="F120" s="901"/>
      <c r="G120" s="901"/>
      <c r="H120" s="901"/>
      <c r="I120" s="901"/>
      <c r="J120" s="901"/>
      <c r="K120" s="901"/>
      <c r="L120" s="901"/>
      <c r="M120" s="901"/>
      <c r="O120" s="159" t="s">
        <v>2260</v>
      </c>
      <c r="P120" s="2500"/>
      <c r="Q120" s="2953"/>
    </row>
    <row r="121" spans="1:32" ht="12.75" customHeight="1">
      <c r="A121" s="2667"/>
      <c r="B121" s="451" t="s">
        <v>1487</v>
      </c>
      <c r="C121" s="783" t="s">
        <v>3199</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3200</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2672</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4" t="s">
        <v>4148</v>
      </c>
      <c r="D124" s="3964"/>
      <c r="E124" s="3964"/>
      <c r="F124" s="3964"/>
      <c r="G124" s="3964"/>
      <c r="H124" s="3964"/>
      <c r="I124" s="3964"/>
      <c r="J124" s="3964"/>
      <c r="K124" s="3964"/>
      <c r="L124" s="3964"/>
      <c r="M124" s="3964"/>
      <c r="N124" s="3964"/>
      <c r="O124" s="159" t="s">
        <v>489</v>
      </c>
      <c r="P124" s="2665"/>
      <c r="Q124" s="2962"/>
      <c r="AE124" s="442"/>
      <c r="AF124" s="442"/>
    </row>
    <row r="125" spans="1:32" ht="12.75" customHeight="1">
      <c r="A125" s="47" t="s">
        <v>1895</v>
      </c>
      <c r="B125" s="52" t="s">
        <v>4147</v>
      </c>
      <c r="C125" s="52"/>
      <c r="E125" s="52"/>
      <c r="F125" s="52"/>
      <c r="G125" s="52"/>
      <c r="H125" s="52"/>
      <c r="I125" s="52"/>
      <c r="J125" s="52"/>
      <c r="K125" s="52"/>
      <c r="L125" s="52"/>
      <c r="M125" s="52"/>
      <c r="O125" s="439" t="s">
        <v>1895</v>
      </c>
      <c r="P125" s="2666" t="s">
        <v>2772</v>
      </c>
      <c r="Q125" s="2958"/>
    </row>
    <row r="126" spans="1:32" ht="12.75" customHeight="1">
      <c r="B126" s="1305" t="s">
        <v>1658</v>
      </c>
      <c r="C126" s="52" t="s">
        <v>4278</v>
      </c>
      <c r="D126" s="52"/>
      <c r="E126" s="52"/>
      <c r="F126" s="52"/>
      <c r="G126" s="52"/>
      <c r="H126" s="52"/>
      <c r="I126" s="52"/>
      <c r="J126" s="52"/>
      <c r="K126" s="52"/>
      <c r="L126" s="52"/>
      <c r="M126" s="52"/>
      <c r="O126" s="147" t="s">
        <v>1658</v>
      </c>
      <c r="P126" s="2666"/>
      <c r="Q126" s="2958"/>
    </row>
    <row r="127" spans="1:32" ht="12.75" customHeight="1">
      <c r="A127" s="47"/>
      <c r="B127" s="144" t="s">
        <v>1659</v>
      </c>
      <c r="C127" s="52" t="s">
        <v>4277</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67"/>
      <c r="J128" s="2667"/>
      <c r="K128" s="2667"/>
      <c r="L128" s="1401"/>
      <c r="M128" s="1401"/>
      <c r="N128" s="1401"/>
      <c r="O128" s="1401"/>
      <c r="P128" s="1401"/>
      <c r="Q128" s="782"/>
    </row>
    <row r="129" spans="1:31" ht="22.5" customHeight="1">
      <c r="A129" s="3959" t="s">
        <v>6934</v>
      </c>
      <c r="B129" s="3960"/>
      <c r="C129" s="3960"/>
      <c r="D129" s="3960"/>
      <c r="E129" s="3960"/>
      <c r="F129" s="3960"/>
      <c r="G129" s="3960"/>
      <c r="H129" s="3960"/>
      <c r="I129" s="3960"/>
      <c r="J129" s="3960"/>
      <c r="K129" s="3960"/>
      <c r="L129" s="3960"/>
      <c r="M129" s="3960"/>
      <c r="N129" s="3960"/>
      <c r="O129" s="3960"/>
      <c r="P129" s="3960"/>
      <c r="Q129" s="3961"/>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3"/>
      <c r="B131" s="3954"/>
      <c r="C131" s="3954"/>
      <c r="D131" s="3954"/>
      <c r="E131" s="3954"/>
      <c r="F131" s="3954"/>
      <c r="G131" s="3954"/>
      <c r="H131" s="3954"/>
      <c r="I131" s="3954"/>
      <c r="J131" s="3954"/>
      <c r="K131" s="3954"/>
      <c r="L131" s="3954"/>
      <c r="M131" s="3954"/>
      <c r="N131" s="3954"/>
      <c r="O131" s="3954"/>
      <c r="P131" s="3954"/>
      <c r="Q131" s="3955"/>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2"/>
      <c r="Q132" s="3963"/>
    </row>
    <row r="133" spans="1:31" ht="6.6" customHeight="1"/>
    <row r="134" spans="1:31">
      <c r="A134" s="47" t="s">
        <v>1893</v>
      </c>
      <c r="B134" s="52" t="s">
        <v>6439</v>
      </c>
      <c r="D134" s="132"/>
      <c r="E134" s="132"/>
      <c r="F134" s="132"/>
      <c r="G134" s="132"/>
      <c r="H134" s="132"/>
      <c r="I134" s="42"/>
      <c r="J134" s="42"/>
      <c r="K134" s="439" t="s">
        <v>1893</v>
      </c>
      <c r="L134" s="3956" t="s">
        <v>6935</v>
      </c>
      <c r="M134" s="3956"/>
      <c r="N134" s="3956"/>
      <c r="O134" s="3956"/>
      <c r="P134" s="3956"/>
      <c r="Q134" s="2955"/>
    </row>
    <row r="135" spans="1:31" ht="12" customHeight="1">
      <c r="B135" s="55" t="s">
        <v>6440</v>
      </c>
      <c r="O135" s="65" t="s">
        <v>1659</v>
      </c>
      <c r="P135" s="2500" t="s">
        <v>2772</v>
      </c>
      <c r="Q135" s="2964"/>
    </row>
    <row r="136" spans="1:31" ht="12" customHeight="1">
      <c r="A136" s="47" t="s">
        <v>1895</v>
      </c>
      <c r="B136" s="52" t="s">
        <v>1476</v>
      </c>
      <c r="D136" s="132"/>
      <c r="E136" s="132"/>
      <c r="F136" s="132"/>
      <c r="G136" s="132"/>
      <c r="H136" s="132"/>
      <c r="I136" s="42"/>
      <c r="J136" s="42"/>
      <c r="K136" s="132"/>
      <c r="L136" s="2657"/>
      <c r="O136" s="439" t="s">
        <v>1895</v>
      </c>
      <c r="P136" s="2500" t="s">
        <v>2772</v>
      </c>
      <c r="Q136" s="2964"/>
    </row>
    <row r="137" spans="1:31" ht="12" customHeight="1">
      <c r="A137" s="47" t="s">
        <v>719</v>
      </c>
      <c r="B137" s="52" t="s">
        <v>143</v>
      </c>
      <c r="D137" s="132"/>
      <c r="E137" s="132"/>
      <c r="F137" s="132"/>
      <c r="G137" s="132"/>
      <c r="H137" s="132"/>
      <c r="I137" s="42"/>
      <c r="J137" s="42"/>
      <c r="K137" s="2657"/>
      <c r="L137" s="2657"/>
      <c r="O137" s="439" t="s">
        <v>719</v>
      </c>
      <c r="P137" s="2668" t="s">
        <v>2769</v>
      </c>
      <c r="Q137" s="2965"/>
    </row>
    <row r="138" spans="1:31" ht="12" customHeight="1">
      <c r="A138" s="47"/>
      <c r="B138" s="783" t="s">
        <v>1658</v>
      </c>
      <c r="C138" s="52" t="s">
        <v>2540</v>
      </c>
      <c r="E138" s="132"/>
      <c r="F138" s="132"/>
      <c r="G138" s="132"/>
      <c r="H138" s="132"/>
      <c r="I138" s="42"/>
      <c r="J138" s="42"/>
      <c r="K138" s="65" t="s">
        <v>1658</v>
      </c>
      <c r="L138" s="3956" t="s">
        <v>6935</v>
      </c>
      <c r="M138" s="3956"/>
      <c r="N138" s="3956"/>
      <c r="O138" s="3956"/>
      <c r="P138" s="3956"/>
      <c r="Q138" s="2955"/>
    </row>
    <row r="139" spans="1:31" ht="12" customHeight="1">
      <c r="A139" s="137"/>
      <c r="B139" s="144" t="s">
        <v>1659</v>
      </c>
      <c r="C139" s="36" t="s">
        <v>3201</v>
      </c>
      <c r="E139" s="42"/>
      <c r="F139" s="42"/>
      <c r="G139" s="42"/>
      <c r="H139" s="52"/>
      <c r="I139" s="42"/>
      <c r="J139" s="42"/>
      <c r="K139" s="132"/>
      <c r="L139" s="2657"/>
      <c r="M139" s="2657"/>
      <c r="O139" s="439" t="s">
        <v>1659</v>
      </c>
      <c r="P139" s="2666">
        <v>67</v>
      </c>
      <c r="Q139" s="2958"/>
    </row>
    <row r="140" spans="1:31" ht="12" customHeight="1">
      <c r="A140" s="137"/>
      <c r="B140" s="40" t="s">
        <v>1660</v>
      </c>
      <c r="C140" s="36" t="s">
        <v>3944</v>
      </c>
      <c r="D140" s="146"/>
      <c r="E140" s="42"/>
      <c r="F140" s="42"/>
      <c r="G140" s="42"/>
      <c r="H140" s="52"/>
      <c r="I140" s="42"/>
      <c r="J140" s="42"/>
      <c r="K140" s="132"/>
      <c r="L140" s="2657"/>
      <c r="M140" s="2657"/>
      <c r="O140" s="439" t="s">
        <v>1660</v>
      </c>
      <c r="P140" s="2668" t="s">
        <v>2769</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2772</v>
      </c>
      <c r="G142" s="2952"/>
      <c r="H142" s="439" t="s">
        <v>4039</v>
      </c>
      <c r="I142" s="52" t="s">
        <v>6329</v>
      </c>
      <c r="K142" s="2666" t="s">
        <v>2772</v>
      </c>
      <c r="L142" s="2958"/>
      <c r="M142" s="439" t="s">
        <v>4043</v>
      </c>
      <c r="N142" s="55" t="s">
        <v>3418</v>
      </c>
      <c r="O142" s="2657"/>
      <c r="P142" s="2492" t="s">
        <v>2772</v>
      </c>
      <c r="Q142" s="2952"/>
    </row>
    <row r="143" spans="1:31" ht="12.75" customHeight="1">
      <c r="B143" s="144" t="s">
        <v>1659</v>
      </c>
      <c r="C143" s="52" t="s">
        <v>6441</v>
      </c>
      <c r="E143" s="132"/>
      <c r="F143" s="2669" t="s">
        <v>2772</v>
      </c>
      <c r="G143" s="2953"/>
      <c r="H143" s="439" t="s">
        <v>4040</v>
      </c>
      <c r="I143" s="52" t="s">
        <v>6330</v>
      </c>
      <c r="K143" s="2669" t="s">
        <v>2769</v>
      </c>
      <c r="L143" s="2953"/>
      <c r="M143" s="439" t="s">
        <v>4044</v>
      </c>
      <c r="N143" s="52" t="s">
        <v>1489</v>
      </c>
      <c r="P143" s="2669" t="s">
        <v>2772</v>
      </c>
      <c r="Q143" s="2953"/>
    </row>
    <row r="144" spans="1:31" ht="12" customHeight="1">
      <c r="A144" s="36"/>
      <c r="B144" s="144" t="s">
        <v>1660</v>
      </c>
      <c r="C144" s="52" t="s">
        <v>6442</v>
      </c>
      <c r="E144" s="132"/>
      <c r="F144" s="2669" t="s">
        <v>2772</v>
      </c>
      <c r="G144" s="2953"/>
      <c r="H144" s="439" t="s">
        <v>4041</v>
      </c>
      <c r="I144" s="55" t="s">
        <v>6443</v>
      </c>
      <c r="K144" s="2668" t="s">
        <v>2769</v>
      </c>
      <c r="L144" s="2954"/>
      <c r="M144" s="439" t="s">
        <v>6444</v>
      </c>
      <c r="N144" s="55" t="s">
        <v>6331</v>
      </c>
      <c r="P144" s="2669" t="s">
        <v>2772</v>
      </c>
      <c r="Q144" s="2953"/>
    </row>
    <row r="145" spans="1:32" ht="12" customHeight="1">
      <c r="A145" s="36"/>
      <c r="B145" s="144" t="s">
        <v>2260</v>
      </c>
      <c r="C145" s="55" t="s">
        <v>2503</v>
      </c>
      <c r="E145" s="132"/>
      <c r="F145" s="2669" t="s">
        <v>2772</v>
      </c>
      <c r="G145" s="2953"/>
      <c r="H145" s="439" t="s">
        <v>4042</v>
      </c>
      <c r="I145" s="3964" t="s">
        <v>6446</v>
      </c>
      <c r="J145" s="3964"/>
      <c r="K145" s="784"/>
      <c r="M145" s="439" t="s">
        <v>6445</v>
      </c>
      <c r="N145" s="52" t="s">
        <v>141</v>
      </c>
      <c r="P145" s="2668" t="s">
        <v>2772</v>
      </c>
      <c r="Q145" s="2954"/>
    </row>
    <row r="146" spans="1:32" ht="12" customHeight="1">
      <c r="A146" s="36"/>
      <c r="B146" s="439" t="s">
        <v>4038</v>
      </c>
      <c r="C146" s="52" t="s">
        <v>2611</v>
      </c>
      <c r="E146" s="132"/>
      <c r="F146" s="2668" t="s">
        <v>2769</v>
      </c>
      <c r="G146" s="2954"/>
      <c r="I146" s="3964"/>
      <c r="J146" s="3964"/>
      <c r="K146" s="2493" t="s">
        <v>2772</v>
      </c>
      <c r="L146" s="2955"/>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4149"/>
      <c r="D148" s="4149"/>
      <c r="E148" s="4149"/>
      <c r="F148" s="4149"/>
      <c r="G148" s="4149"/>
      <c r="H148" s="4149"/>
      <c r="I148" s="4149"/>
      <c r="J148" s="4149"/>
      <c r="K148" s="4149"/>
      <c r="L148" s="4149"/>
      <c r="M148" s="4149"/>
      <c r="N148" s="4149"/>
      <c r="O148" s="4149"/>
      <c r="P148" s="4149"/>
      <c r="Q148" s="4149"/>
    </row>
    <row r="149" spans="1:32" ht="12" customHeight="1">
      <c r="A149" s="47" t="s">
        <v>1656</v>
      </c>
      <c r="B149" s="52" t="s">
        <v>3260</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c r="Q150" s="2952"/>
    </row>
    <row r="151" spans="1:32" ht="12.75" customHeight="1">
      <c r="A151" s="2667"/>
      <c r="B151" s="144" t="s">
        <v>1659</v>
      </c>
      <c r="C151" s="52" t="s">
        <v>469</v>
      </c>
      <c r="E151" s="52"/>
      <c r="F151" s="52"/>
      <c r="G151" s="52"/>
      <c r="H151" s="52"/>
      <c r="I151" s="42"/>
      <c r="J151" s="42"/>
      <c r="K151" s="52"/>
      <c r="L151" s="52"/>
      <c r="M151" s="52"/>
      <c r="O151" s="65" t="s">
        <v>1659</v>
      </c>
      <c r="P151" s="2669"/>
      <c r="Q151" s="2953"/>
    </row>
    <row r="152" spans="1:32" ht="12.75" customHeight="1">
      <c r="A152" s="2667"/>
      <c r="B152" s="144" t="s">
        <v>1660</v>
      </c>
      <c r="C152" s="52" t="s">
        <v>651</v>
      </c>
      <c r="E152" s="52"/>
      <c r="F152" s="52"/>
      <c r="G152" s="52"/>
      <c r="H152" s="52"/>
      <c r="I152" s="42"/>
      <c r="J152" s="42"/>
      <c r="K152" s="52"/>
      <c r="L152" s="52"/>
      <c r="M152" s="52"/>
      <c r="O152" s="65" t="s">
        <v>1660</v>
      </c>
      <c r="P152" s="2669"/>
      <c r="Q152" s="2953"/>
    </row>
    <row r="153" spans="1:32" ht="12.75" customHeight="1">
      <c r="A153" s="2667"/>
      <c r="B153" s="40" t="s">
        <v>2260</v>
      </c>
      <c r="C153" s="52" t="s">
        <v>4025</v>
      </c>
      <c r="E153" s="52"/>
      <c r="F153" s="52"/>
      <c r="G153" s="52"/>
      <c r="H153" s="52"/>
      <c r="I153" s="42"/>
      <c r="J153" s="42"/>
      <c r="K153" s="52"/>
      <c r="L153" s="52"/>
      <c r="M153" s="52"/>
      <c r="O153" s="439" t="s">
        <v>2260</v>
      </c>
      <c r="P153" s="2668"/>
      <c r="Q153" s="2954"/>
    </row>
    <row r="154" spans="1:32" ht="12" customHeight="1">
      <c r="A154" s="399" t="s">
        <v>4149</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4" t="s">
        <v>140</v>
      </c>
      <c r="C155" s="3964"/>
      <c r="D155" s="3964"/>
      <c r="E155" s="3964"/>
      <c r="F155" s="3964"/>
      <c r="G155" s="3964"/>
      <c r="H155" s="3964"/>
      <c r="I155" s="3964"/>
      <c r="J155" s="3964"/>
      <c r="K155" s="3964"/>
      <c r="L155" s="3964"/>
      <c r="M155" s="439" t="s">
        <v>1858</v>
      </c>
      <c r="N155" s="4042" t="s">
        <v>1691</v>
      </c>
      <c r="O155" s="4043"/>
      <c r="P155" s="4044" t="s">
        <v>1691</v>
      </c>
      <c r="Q155" s="4045"/>
      <c r="AE155" s="5"/>
      <c r="AF155" s="5"/>
    </row>
    <row r="156" spans="1:32" ht="11.25" customHeight="1">
      <c r="B156" s="139" t="s">
        <v>3372</v>
      </c>
      <c r="D156" s="139"/>
      <c r="E156" s="139"/>
      <c r="F156" s="139"/>
      <c r="G156" s="139"/>
      <c r="H156" s="40"/>
      <c r="I156" s="2667"/>
      <c r="J156" s="2667"/>
      <c r="K156" s="2667"/>
      <c r="L156" s="1401"/>
      <c r="M156" s="1401"/>
      <c r="N156" s="1401"/>
      <c r="O156" s="1401"/>
      <c r="P156" s="1401"/>
      <c r="Q156" s="782"/>
    </row>
    <row r="157" spans="1:32" ht="45" customHeight="1">
      <c r="A157" s="3959" t="s">
        <v>6936</v>
      </c>
      <c r="B157" s="3960"/>
      <c r="C157" s="3960"/>
      <c r="D157" s="3960"/>
      <c r="E157" s="3960"/>
      <c r="F157" s="3960"/>
      <c r="G157" s="3960"/>
      <c r="H157" s="3960"/>
      <c r="I157" s="3960"/>
      <c r="J157" s="3960"/>
      <c r="K157" s="3960"/>
      <c r="L157" s="3960"/>
      <c r="M157" s="3960"/>
      <c r="N157" s="3960"/>
      <c r="O157" s="3960"/>
      <c r="P157" s="3960"/>
      <c r="Q157" s="3961"/>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3"/>
      <c r="B160" s="3954"/>
      <c r="C160" s="3954"/>
      <c r="D160" s="3954"/>
      <c r="E160" s="3954"/>
      <c r="F160" s="3954"/>
      <c r="G160" s="3954"/>
      <c r="H160" s="3954"/>
      <c r="I160" s="3954"/>
      <c r="J160" s="3954"/>
      <c r="K160" s="3954"/>
      <c r="L160" s="3954"/>
      <c r="M160" s="3954"/>
      <c r="N160" s="3954"/>
      <c r="O160" s="3954"/>
      <c r="P160" s="3954"/>
      <c r="Q160" s="3955"/>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2"/>
      <c r="Q162" s="3963"/>
    </row>
    <row r="163" spans="1:31" ht="12" customHeight="1">
      <c r="A163" s="47" t="s">
        <v>1893</v>
      </c>
      <c r="B163" s="144" t="s">
        <v>1658</v>
      </c>
      <c r="C163" s="52" t="s">
        <v>6332</v>
      </c>
      <c r="D163" s="52"/>
      <c r="E163" s="52"/>
      <c r="F163" s="52"/>
      <c r="G163" s="52"/>
      <c r="K163" s="52" t="s">
        <v>2555</v>
      </c>
      <c r="M163" s="4046">
        <v>44561</v>
      </c>
      <c r="N163" s="4047"/>
      <c r="O163" s="65" t="s">
        <v>1658</v>
      </c>
      <c r="P163" s="2489" t="s">
        <v>2769</v>
      </c>
      <c r="Q163" s="2966"/>
    </row>
    <row r="164" spans="1:31" ht="12" customHeight="1">
      <c r="A164" s="47"/>
      <c r="B164" s="144" t="s">
        <v>1659</v>
      </c>
      <c r="C164" s="52" t="s">
        <v>4257</v>
      </c>
      <c r="D164" s="52"/>
      <c r="E164" s="52"/>
      <c r="F164" s="52"/>
      <c r="G164" s="52"/>
      <c r="K164" s="52" t="s">
        <v>2555</v>
      </c>
      <c r="M164" s="4046"/>
      <c r="N164" s="4047"/>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7" t="s">
        <v>6937</v>
      </c>
      <c r="N165" s="4058"/>
      <c r="P165" s="4059" t="s">
        <v>1691</v>
      </c>
      <c r="Q165" s="4060"/>
    </row>
    <row r="166" spans="1:31" ht="12" customHeight="1">
      <c r="A166" s="47" t="s">
        <v>719</v>
      </c>
      <c r="B166" s="138" t="s">
        <v>652</v>
      </c>
      <c r="D166" s="138"/>
      <c r="E166" s="138"/>
      <c r="F166" s="138"/>
      <c r="G166" s="138"/>
      <c r="H166" s="138"/>
      <c r="J166" s="439" t="s">
        <v>719</v>
      </c>
      <c r="K166" s="4016" t="s">
        <v>6875</v>
      </c>
      <c r="L166" s="4017"/>
      <c r="M166" s="4017"/>
      <c r="N166" s="4017"/>
      <c r="O166" s="4017"/>
      <c r="P166" s="4018"/>
      <c r="Q166" s="2966"/>
    </row>
    <row r="167" spans="1:31" ht="21.75" customHeight="1">
      <c r="A167" s="140" t="s">
        <v>2021</v>
      </c>
      <c r="B167" s="3964" t="s">
        <v>6447</v>
      </c>
      <c r="C167" s="3964"/>
      <c r="D167" s="3964"/>
      <c r="E167" s="3964"/>
      <c r="F167" s="3964"/>
      <c r="G167" s="3964"/>
      <c r="H167" s="3964"/>
      <c r="I167" s="3964"/>
      <c r="J167" s="3964"/>
      <c r="K167" s="3964"/>
      <c r="L167" s="3964"/>
      <c r="M167" s="3964"/>
      <c r="N167" s="3964"/>
      <c r="O167" s="159" t="s">
        <v>2021</v>
      </c>
      <c r="P167" s="2665" t="s">
        <v>6869</v>
      </c>
      <c r="Q167" s="2962"/>
    </row>
    <row r="168" spans="1:31" ht="12" customHeight="1">
      <c r="B168" s="139" t="s">
        <v>3372</v>
      </c>
      <c r="D168" s="139"/>
      <c r="E168" s="139"/>
      <c r="F168" s="139"/>
      <c r="G168" s="139"/>
      <c r="H168" s="40"/>
      <c r="I168" s="2667"/>
      <c r="J168" s="2667"/>
      <c r="K168" s="2667"/>
      <c r="L168" s="1401"/>
      <c r="M168" s="1401"/>
      <c r="N168" s="1401"/>
      <c r="O168" s="1401"/>
      <c r="P168" s="1401"/>
      <c r="Q168" s="782"/>
    </row>
    <row r="169" spans="1:31" ht="11.45" customHeight="1">
      <c r="A169" s="3959" t="s">
        <v>6995</v>
      </c>
      <c r="B169" s="3960"/>
      <c r="C169" s="3960"/>
      <c r="D169" s="3960"/>
      <c r="E169" s="3960"/>
      <c r="F169" s="3960"/>
      <c r="G169" s="3960"/>
      <c r="H169" s="3960"/>
      <c r="I169" s="3960"/>
      <c r="J169" s="3960"/>
      <c r="K169" s="3960"/>
      <c r="L169" s="3960"/>
      <c r="M169" s="3960"/>
      <c r="N169" s="3960"/>
      <c r="O169" s="3960"/>
      <c r="P169" s="3960"/>
      <c r="Q169" s="3961"/>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3"/>
      <c r="B171" s="3954"/>
      <c r="C171" s="3954"/>
      <c r="D171" s="3954"/>
      <c r="E171" s="3954"/>
      <c r="F171" s="3954"/>
      <c r="G171" s="3954"/>
      <c r="H171" s="3954"/>
      <c r="I171" s="3954"/>
      <c r="J171" s="3954"/>
      <c r="K171" s="3954"/>
      <c r="L171" s="3954"/>
      <c r="M171" s="3954"/>
      <c r="N171" s="3954"/>
      <c r="O171" s="3954"/>
      <c r="P171" s="3954"/>
      <c r="Q171" s="3955"/>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2"/>
      <c r="Q173" s="3963"/>
    </row>
    <row r="174" spans="1:31" ht="21.75" customHeight="1">
      <c r="A174" s="140" t="s">
        <v>1893</v>
      </c>
      <c r="B174" s="3964" t="s">
        <v>3366</v>
      </c>
      <c r="C174" s="3964"/>
      <c r="D174" s="3964"/>
      <c r="E174" s="3964"/>
      <c r="F174" s="3964"/>
      <c r="G174" s="3964"/>
      <c r="H174" s="3964"/>
      <c r="I174" s="3964"/>
      <c r="J174" s="3964"/>
      <c r="K174" s="3964"/>
      <c r="L174" s="3964"/>
      <c r="M174" s="3964"/>
      <c r="N174" s="3964"/>
      <c r="O174" s="159" t="s">
        <v>1893</v>
      </c>
      <c r="P174" s="2502" t="s">
        <v>2769</v>
      </c>
      <c r="Q174" s="2967"/>
    </row>
    <row r="175" spans="1:31" ht="22.35" customHeight="1">
      <c r="A175" s="140" t="s">
        <v>1895</v>
      </c>
      <c r="B175" s="3964" t="s">
        <v>3959</v>
      </c>
      <c r="C175" s="3964"/>
      <c r="D175" s="3964"/>
      <c r="E175" s="3964"/>
      <c r="F175" s="3964"/>
      <c r="G175" s="3964"/>
      <c r="H175" s="3964"/>
      <c r="I175" s="3964"/>
      <c r="J175" s="3964"/>
      <c r="K175" s="3964"/>
      <c r="L175" s="3964"/>
      <c r="M175" s="3964"/>
      <c r="N175" s="3964"/>
      <c r="O175" s="159" t="s">
        <v>1895</v>
      </c>
      <c r="P175" s="2664" t="s">
        <v>6938</v>
      </c>
      <c r="Q175" s="2960"/>
    </row>
    <row r="176" spans="1:31" ht="22.35" customHeight="1">
      <c r="A176" s="140" t="s">
        <v>719</v>
      </c>
      <c r="B176" s="3964" t="s">
        <v>3367</v>
      </c>
      <c r="C176" s="3964"/>
      <c r="D176" s="3964"/>
      <c r="E176" s="3964"/>
      <c r="F176" s="3964"/>
      <c r="G176" s="3964"/>
      <c r="H176" s="3964"/>
      <c r="I176" s="3964"/>
      <c r="J176" s="3964"/>
      <c r="K176" s="3964"/>
      <c r="L176" s="3964"/>
      <c r="M176" s="3964"/>
      <c r="N176" s="3964"/>
      <c r="O176" s="159" t="s">
        <v>719</v>
      </c>
      <c r="P176" s="2664" t="s">
        <v>6938</v>
      </c>
      <c r="Q176" s="2960"/>
    </row>
    <row r="177" spans="1:32" ht="21.75" customHeight="1">
      <c r="A177" s="140" t="s">
        <v>2021</v>
      </c>
      <c r="B177" s="3964" t="s">
        <v>4007</v>
      </c>
      <c r="C177" s="3964"/>
      <c r="D177" s="3964"/>
      <c r="E177" s="3964"/>
      <c r="F177" s="3964"/>
      <c r="G177" s="3964"/>
      <c r="H177" s="3964"/>
      <c r="I177" s="3964"/>
      <c r="J177" s="3964"/>
      <c r="K177" s="3964"/>
      <c r="L177" s="3964"/>
      <c r="M177" s="3964"/>
      <c r="N177" s="3964"/>
      <c r="O177" s="159" t="s">
        <v>2021</v>
      </c>
      <c r="P177" s="2665" t="s">
        <v>6938</v>
      </c>
      <c r="Q177" s="2962"/>
    </row>
    <row r="178" spans="1:32" ht="12" customHeight="1">
      <c r="B178" s="139" t="s">
        <v>3372</v>
      </c>
      <c r="D178" s="139"/>
      <c r="E178" s="139"/>
      <c r="F178" s="139"/>
      <c r="G178" s="139"/>
      <c r="H178" s="40"/>
      <c r="I178" s="2667"/>
      <c r="J178" s="2667"/>
      <c r="K178" s="2667"/>
      <c r="L178" s="1401"/>
      <c r="M178" s="1401"/>
      <c r="N178" s="1401"/>
      <c r="O178" s="1401"/>
      <c r="P178" s="1401"/>
      <c r="Q178" s="782"/>
    </row>
    <row r="179" spans="1:32" ht="11.45" customHeight="1">
      <c r="A179" s="3959" t="s">
        <v>6939</v>
      </c>
      <c r="B179" s="3960"/>
      <c r="C179" s="3960"/>
      <c r="D179" s="3960"/>
      <c r="E179" s="3960"/>
      <c r="F179" s="3960"/>
      <c r="G179" s="3960"/>
      <c r="H179" s="3960"/>
      <c r="I179" s="3960"/>
      <c r="J179" s="3960"/>
      <c r="K179" s="3960"/>
      <c r="L179" s="3960"/>
      <c r="M179" s="3960"/>
      <c r="N179" s="3960"/>
      <c r="O179" s="3960"/>
      <c r="P179" s="3960"/>
      <c r="Q179" s="3961"/>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3"/>
      <c r="B181" s="3954"/>
      <c r="C181" s="3954"/>
      <c r="D181" s="3954"/>
      <c r="E181" s="3954"/>
      <c r="F181" s="3954"/>
      <c r="G181" s="3954"/>
      <c r="H181" s="3954"/>
      <c r="I181" s="3954"/>
      <c r="J181" s="3954"/>
      <c r="K181" s="3954"/>
      <c r="L181" s="3954"/>
      <c r="M181" s="3954"/>
      <c r="N181" s="3954"/>
      <c r="O181" s="3954"/>
      <c r="P181" s="3954"/>
      <c r="Q181" s="3955"/>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6" t="s">
        <v>2516</v>
      </c>
      <c r="C183" s="3876"/>
      <c r="D183" s="3876"/>
      <c r="F183" s="380" t="s">
        <v>6377</v>
      </c>
      <c r="O183" s="130" t="s">
        <v>1781</v>
      </c>
      <c r="P183" s="3962"/>
      <c r="Q183" s="3963"/>
    </row>
    <row r="184" spans="1:32" s="27" customFormat="1" ht="11.45" customHeight="1">
      <c r="B184" s="55" t="s">
        <v>6448</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6333</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4009</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4" t="s">
        <v>3368</v>
      </c>
      <c r="D190" s="3964"/>
      <c r="E190" s="3964"/>
      <c r="F190" s="3964"/>
      <c r="G190" s="3964"/>
      <c r="H190" s="3964"/>
      <c r="I190" s="3964"/>
      <c r="J190" s="3964"/>
      <c r="K190" s="3964"/>
      <c r="L190" s="3964"/>
      <c r="M190" s="3964"/>
      <c r="N190" s="3964"/>
      <c r="O190" s="159" t="s">
        <v>1660</v>
      </c>
      <c r="P190" s="2664"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4" t="s">
        <v>2508</v>
      </c>
      <c r="D192" s="3964"/>
      <c r="E192" s="3964"/>
      <c r="F192" s="3964"/>
      <c r="G192" s="3964"/>
      <c r="H192" s="3964"/>
      <c r="I192" s="3964"/>
      <c r="J192" s="3964"/>
      <c r="K192" s="3964"/>
      <c r="L192" s="3964"/>
      <c r="M192" s="3964"/>
      <c r="N192" s="3964"/>
      <c r="O192" s="159" t="s">
        <v>1487</v>
      </c>
      <c r="P192" s="2664" t="s">
        <v>6938</v>
      </c>
      <c r="Q192" s="2960"/>
      <c r="AE192" s="442"/>
      <c r="AF192" s="442"/>
    </row>
    <row r="193" spans="1:32" s="131" customFormat="1" ht="21.75" customHeight="1">
      <c r="A193" s="140"/>
      <c r="B193" s="451" t="s">
        <v>1488</v>
      </c>
      <c r="C193" s="3964" t="s">
        <v>3445</v>
      </c>
      <c r="D193" s="3964"/>
      <c r="E193" s="3964"/>
      <c r="F193" s="3964"/>
      <c r="G193" s="3964"/>
      <c r="H193" s="3964"/>
      <c r="I193" s="3964"/>
      <c r="J193" s="3964"/>
      <c r="K193" s="3964"/>
      <c r="L193" s="3964"/>
      <c r="M193" s="3964"/>
      <c r="N193" s="3964"/>
      <c r="O193" s="159" t="s">
        <v>1488</v>
      </c>
      <c r="P193" s="2664" t="s">
        <v>6938</v>
      </c>
      <c r="Q193" s="2960"/>
      <c r="AE193" s="442"/>
      <c r="AF193" s="442"/>
    </row>
    <row r="194" spans="1:32" ht="21.75" customHeight="1">
      <c r="A194" s="140" t="s">
        <v>2021</v>
      </c>
      <c r="B194" s="3964" t="s">
        <v>2509</v>
      </c>
      <c r="C194" s="3964"/>
      <c r="D194" s="3964"/>
      <c r="E194" s="3964"/>
      <c r="F194" s="3964"/>
      <c r="G194" s="3964"/>
      <c r="H194" s="3964"/>
      <c r="I194" s="3964"/>
      <c r="J194" s="3964"/>
      <c r="K194" s="3964"/>
      <c r="L194" s="3964"/>
      <c r="M194" s="3964"/>
      <c r="N194" s="3964"/>
      <c r="O194" s="159" t="s">
        <v>2021</v>
      </c>
      <c r="P194" s="2664"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8" t="s">
        <v>2769</v>
      </c>
      <c r="Q195" s="2954"/>
    </row>
    <row r="196" spans="1:32" ht="12" customHeight="1">
      <c r="B196" s="139" t="s">
        <v>3372</v>
      </c>
      <c r="D196" s="139"/>
      <c r="E196" s="139"/>
      <c r="F196" s="139"/>
      <c r="G196" s="139"/>
      <c r="H196" s="40"/>
      <c r="I196" s="2667"/>
      <c r="J196" s="2667"/>
      <c r="K196" s="2667"/>
      <c r="L196" s="1401"/>
      <c r="M196" s="1401"/>
      <c r="N196" s="1401"/>
      <c r="O196" s="1401"/>
      <c r="P196" s="1401"/>
      <c r="Q196" s="782"/>
    </row>
    <row r="197" spans="1:32" ht="11.45" customHeight="1">
      <c r="A197" s="3959" t="s">
        <v>6940</v>
      </c>
      <c r="B197" s="3960"/>
      <c r="C197" s="3960"/>
      <c r="D197" s="3960"/>
      <c r="E197" s="3960"/>
      <c r="F197" s="3960"/>
      <c r="G197" s="3960"/>
      <c r="H197" s="3960"/>
      <c r="I197" s="3960"/>
      <c r="J197" s="3960"/>
      <c r="K197" s="3960"/>
      <c r="L197" s="3960"/>
      <c r="M197" s="3960"/>
      <c r="N197" s="3960"/>
      <c r="O197" s="3960"/>
      <c r="P197" s="3960"/>
      <c r="Q197" s="3961"/>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3"/>
      <c r="B199" s="3954"/>
      <c r="C199" s="3954"/>
      <c r="D199" s="3954"/>
      <c r="E199" s="3954"/>
      <c r="F199" s="3954"/>
      <c r="G199" s="3954"/>
      <c r="H199" s="3954"/>
      <c r="I199" s="3954"/>
      <c r="J199" s="3954"/>
      <c r="K199" s="3954"/>
      <c r="L199" s="3954"/>
      <c r="M199" s="3954"/>
      <c r="N199" s="3954"/>
      <c r="O199" s="3954"/>
      <c r="P199" s="3954"/>
      <c r="Q199" s="3955"/>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6377</v>
      </c>
      <c r="G201" s="2653"/>
      <c r="J201" s="784"/>
      <c r="K201" s="784"/>
      <c r="L201" s="784"/>
      <c r="M201" s="784"/>
      <c r="N201" s="784"/>
      <c r="O201" s="130" t="s">
        <v>1781</v>
      </c>
      <c r="P201" s="3962"/>
      <c r="Q201" s="3963"/>
    </row>
    <row r="202" spans="1:32" s="27" customFormat="1" ht="12.75" customHeight="1">
      <c r="B202" s="55" t="s">
        <v>6448</v>
      </c>
      <c r="N202" s="119"/>
      <c r="P202" s="2489" t="s">
        <v>2772</v>
      </c>
      <c r="Q202" s="2966"/>
      <c r="AE202" s="115"/>
      <c r="AF202" s="115"/>
    </row>
    <row r="203" spans="1:32" ht="33.75" customHeight="1">
      <c r="B203" s="4165" t="s">
        <v>6334</v>
      </c>
      <c r="C203" s="4165"/>
      <c r="D203" s="4165"/>
      <c r="E203" s="4165"/>
      <c r="F203" s="4165"/>
      <c r="G203" s="4165"/>
      <c r="H203" s="4165"/>
      <c r="I203" s="4165"/>
      <c r="J203" s="4165"/>
      <c r="K203" s="4165"/>
      <c r="L203" s="4165"/>
      <c r="M203" s="4165"/>
      <c r="N203" s="4165"/>
      <c r="O203" s="4165"/>
      <c r="P203" s="963"/>
      <c r="Q203" s="963"/>
    </row>
    <row r="204" spans="1:32" ht="12.75" customHeight="1">
      <c r="A204" s="137"/>
      <c r="B204" s="138" t="s">
        <v>91</v>
      </c>
      <c r="D204" s="138"/>
      <c r="E204" s="138"/>
      <c r="F204" s="138"/>
      <c r="G204" s="138"/>
      <c r="H204" s="65" t="s">
        <v>1658</v>
      </c>
      <c r="I204" s="52" t="s">
        <v>144</v>
      </c>
      <c r="J204" s="4029"/>
      <c r="K204" s="4030"/>
      <c r="L204" s="4030"/>
      <c r="M204" s="4030"/>
      <c r="N204" s="4031"/>
      <c r="O204" s="65" t="s">
        <v>1658</v>
      </c>
      <c r="P204" s="2492"/>
      <c r="Q204" s="2952"/>
    </row>
    <row r="205" spans="1:32" ht="12.75" customHeight="1">
      <c r="A205" s="137"/>
      <c r="B205" s="139" t="s">
        <v>3372</v>
      </c>
      <c r="C205" s="103"/>
      <c r="D205" s="103"/>
      <c r="E205" s="103"/>
      <c r="F205" s="103"/>
      <c r="H205" s="65" t="s">
        <v>1659</v>
      </c>
      <c r="I205" s="52" t="s">
        <v>1530</v>
      </c>
      <c r="J205" s="3965" t="s">
        <v>6941</v>
      </c>
      <c r="K205" s="3966"/>
      <c r="L205" s="3966"/>
      <c r="M205" s="3966"/>
      <c r="N205" s="3967"/>
      <c r="O205" s="65" t="s">
        <v>1659</v>
      </c>
      <c r="P205" s="2668" t="s">
        <v>2769</v>
      </c>
      <c r="Q205" s="2954"/>
    </row>
    <row r="206" spans="1:32" ht="12.75" customHeight="1">
      <c r="A206" s="3959" t="s">
        <v>6942</v>
      </c>
      <c r="B206" s="3960"/>
      <c r="C206" s="3960"/>
      <c r="D206" s="3960"/>
      <c r="E206" s="3960"/>
      <c r="F206" s="3960"/>
      <c r="G206" s="3960"/>
      <c r="H206" s="3960"/>
      <c r="I206" s="3960"/>
      <c r="J206" s="3960"/>
      <c r="K206" s="3960"/>
      <c r="L206" s="3960"/>
      <c r="M206" s="3960"/>
      <c r="N206" s="3960"/>
      <c r="O206" s="3960"/>
      <c r="P206" s="3960"/>
      <c r="Q206" s="3961"/>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3"/>
      <c r="B208" s="3954"/>
      <c r="C208" s="3954"/>
      <c r="D208" s="3954"/>
      <c r="E208" s="3954"/>
      <c r="F208" s="3954"/>
      <c r="G208" s="3954"/>
      <c r="H208" s="3954"/>
      <c r="I208" s="3954"/>
      <c r="J208" s="3954"/>
      <c r="K208" s="3954"/>
      <c r="L208" s="3954"/>
      <c r="M208" s="3954"/>
      <c r="N208" s="3954"/>
      <c r="O208" s="3954"/>
      <c r="P208" s="3954"/>
      <c r="Q208" s="3955"/>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6378</v>
      </c>
      <c r="J210" s="2653"/>
      <c r="K210" s="2653"/>
      <c r="L210" s="2653"/>
      <c r="M210" s="2653"/>
      <c r="O210" s="130" t="s">
        <v>1781</v>
      </c>
      <c r="P210" s="3962"/>
      <c r="Q210" s="3963"/>
    </row>
    <row r="211" spans="1:32" s="27" customFormat="1" ht="12.75" customHeight="1">
      <c r="B211" s="55" t="s">
        <v>6448</v>
      </c>
      <c r="N211" s="119"/>
      <c r="P211" s="2489" t="s">
        <v>2772</v>
      </c>
      <c r="Q211" s="2966"/>
      <c r="AE211" s="115"/>
      <c r="AF211" s="115"/>
    </row>
    <row r="212" spans="1:32" ht="12.75" customHeight="1">
      <c r="A212" s="140" t="s">
        <v>1893</v>
      </c>
      <c r="B212" s="3964" t="s">
        <v>1763</v>
      </c>
      <c r="C212" s="3964"/>
      <c r="D212" s="3964"/>
      <c r="E212" s="3964"/>
      <c r="F212" s="3964"/>
      <c r="G212" s="3964"/>
      <c r="H212" s="65" t="s">
        <v>1658</v>
      </c>
      <c r="I212" s="52" t="s">
        <v>605</v>
      </c>
      <c r="J212" s="4029" t="s">
        <v>6863</v>
      </c>
      <c r="K212" s="4030"/>
      <c r="L212" s="4030"/>
      <c r="M212" s="4030"/>
      <c r="N212" s="4031"/>
      <c r="O212" s="159" t="s">
        <v>1427</v>
      </c>
      <c r="P212" s="2666" t="s">
        <v>2769</v>
      </c>
      <c r="Q212" s="2958"/>
    </row>
    <row r="213" spans="1:32" ht="12.75" customHeight="1">
      <c r="A213" s="148"/>
      <c r="B213" s="3964"/>
      <c r="C213" s="3964"/>
      <c r="D213" s="3964"/>
      <c r="E213" s="3964"/>
      <c r="F213" s="3964"/>
      <c r="G213" s="3964"/>
      <c r="H213" s="65" t="s">
        <v>1659</v>
      </c>
      <c r="I213" s="52" t="s">
        <v>109</v>
      </c>
      <c r="J213" s="3965" t="s">
        <v>6863</v>
      </c>
      <c r="K213" s="3966"/>
      <c r="L213" s="3966"/>
      <c r="M213" s="3966"/>
      <c r="N213" s="3967"/>
      <c r="O213" s="159" t="s">
        <v>1659</v>
      </c>
      <c r="P213" s="2669" t="s">
        <v>2769</v>
      </c>
      <c r="Q213" s="2953"/>
    </row>
    <row r="214" spans="1:32" ht="12.75" customHeight="1">
      <c r="A214" s="140" t="s">
        <v>1895</v>
      </c>
      <c r="B214" s="52" t="s">
        <v>3449</v>
      </c>
      <c r="D214" s="52"/>
      <c r="E214" s="52"/>
      <c r="F214" s="52"/>
      <c r="G214" s="52"/>
      <c r="H214" s="52"/>
      <c r="I214" s="52"/>
      <c r="J214" s="52"/>
      <c r="K214" s="42"/>
      <c r="L214" s="52"/>
      <c r="M214" s="52"/>
      <c r="O214" s="439" t="s">
        <v>1895</v>
      </c>
      <c r="P214" s="2669" t="s">
        <v>2772</v>
      </c>
      <c r="Q214" s="2953"/>
    </row>
    <row r="215" spans="1:32" ht="12.75" customHeight="1">
      <c r="A215" s="47" t="s">
        <v>719</v>
      </c>
      <c r="B215" s="52" t="s">
        <v>3450</v>
      </c>
      <c r="D215" s="52"/>
      <c r="E215" s="52"/>
      <c r="F215" s="52"/>
      <c r="G215" s="52"/>
      <c r="H215" s="52"/>
      <c r="I215" s="52"/>
      <c r="J215" s="52"/>
      <c r="K215" s="42"/>
      <c r="L215" s="52"/>
      <c r="M215" s="52"/>
      <c r="O215" s="439" t="s">
        <v>719</v>
      </c>
      <c r="P215" s="2668" t="s">
        <v>2772</v>
      </c>
      <c r="Q215" s="2954"/>
    </row>
    <row r="216" spans="1:32" ht="12.75" customHeight="1">
      <c r="B216" s="139" t="s">
        <v>3372</v>
      </c>
      <c r="D216" s="139"/>
      <c r="E216" s="139"/>
      <c r="F216" s="139"/>
      <c r="G216" s="139"/>
      <c r="H216" s="40"/>
      <c r="I216" s="2667"/>
      <c r="J216" s="2667"/>
      <c r="K216" s="2667"/>
      <c r="L216" s="1401"/>
      <c r="M216" s="1401"/>
      <c r="N216" s="1401"/>
      <c r="O216" s="1401"/>
      <c r="P216" s="1401"/>
      <c r="Q216" s="782"/>
    </row>
    <row r="217" spans="1:32" ht="12.75" customHeight="1">
      <c r="A217" s="3959" t="s">
        <v>6943</v>
      </c>
      <c r="B217" s="3960"/>
      <c r="C217" s="3960"/>
      <c r="D217" s="3960"/>
      <c r="E217" s="3960"/>
      <c r="F217" s="3960"/>
      <c r="G217" s="3960"/>
      <c r="H217" s="3960"/>
      <c r="I217" s="3960"/>
      <c r="J217" s="3960"/>
      <c r="K217" s="3960"/>
      <c r="L217" s="3960"/>
      <c r="M217" s="3960"/>
      <c r="N217" s="3960"/>
      <c r="O217" s="3960"/>
      <c r="P217" s="3960"/>
      <c r="Q217" s="3961"/>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3"/>
      <c r="B219" s="3954"/>
      <c r="C219" s="3954"/>
      <c r="D219" s="3954"/>
      <c r="E219" s="3954"/>
      <c r="F219" s="3954"/>
      <c r="G219" s="3954"/>
      <c r="H219" s="3954"/>
      <c r="I219" s="3954"/>
      <c r="J219" s="3954"/>
      <c r="K219" s="3954"/>
      <c r="L219" s="3954"/>
      <c r="M219" s="3954"/>
      <c r="N219" s="3954"/>
      <c r="O219" s="3954"/>
      <c r="P219" s="3954"/>
      <c r="Q219" s="3955"/>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2"/>
      <c r="Q221" s="3963"/>
    </row>
    <row r="222" spans="1:32" s="27" customFormat="1" ht="12.75" customHeight="1">
      <c r="B222" s="143" t="s">
        <v>1147</v>
      </c>
      <c r="N222" s="119"/>
      <c r="P222" s="2489" t="s">
        <v>2772</v>
      </c>
      <c r="Q222" s="2966"/>
      <c r="AE222" s="115"/>
      <c r="AF222" s="115"/>
    </row>
    <row r="223" spans="1:32" ht="12.75" customHeight="1">
      <c r="A223" s="47" t="s">
        <v>1893</v>
      </c>
      <c r="B223" s="36" t="s">
        <v>4230</v>
      </c>
      <c r="D223" s="42"/>
      <c r="E223" s="42"/>
      <c r="F223" s="42"/>
      <c r="G223" s="42"/>
      <c r="H223" s="42"/>
      <c r="I223" s="42"/>
      <c r="J223" s="42"/>
      <c r="K223" s="42"/>
      <c r="L223" s="42"/>
      <c r="M223" s="42"/>
      <c r="O223" s="439" t="s">
        <v>1893</v>
      </c>
      <c r="P223" s="2489" t="s">
        <v>6931</v>
      </c>
      <c r="Q223" s="2952"/>
    </row>
    <row r="224" spans="1:32" ht="12.75" customHeight="1">
      <c r="A224" s="47"/>
      <c r="B224" s="144" t="s">
        <v>1658</v>
      </c>
      <c r="C224" s="52" t="s">
        <v>1842</v>
      </c>
      <c r="E224" s="52"/>
      <c r="F224" s="52"/>
      <c r="G224" s="52"/>
      <c r="H224" s="52"/>
      <c r="I224" s="42"/>
      <c r="J224" s="65" t="s">
        <v>1427</v>
      </c>
      <c r="K224" s="4029" t="s">
        <v>6944</v>
      </c>
      <c r="L224" s="4031"/>
      <c r="Q224" s="2953"/>
    </row>
    <row r="225" spans="1:32" ht="12.75" customHeight="1">
      <c r="A225" s="47"/>
      <c r="B225" s="144" t="s">
        <v>1659</v>
      </c>
      <c r="C225" s="783" t="s">
        <v>3945</v>
      </c>
      <c r="E225" s="783"/>
      <c r="F225" s="783"/>
      <c r="G225" s="783"/>
      <c r="H225" s="783"/>
      <c r="I225" s="42"/>
      <c r="J225" s="65" t="s">
        <v>1428</v>
      </c>
      <c r="K225" s="4022" t="s">
        <v>6945</v>
      </c>
      <c r="L225" s="4023"/>
      <c r="M225" s="4166" t="s">
        <v>6449</v>
      </c>
      <c r="N225" s="4167"/>
      <c r="O225" s="4167"/>
      <c r="P225" s="4168"/>
      <c r="Q225" s="2953"/>
    </row>
    <row r="226" spans="1:32" ht="12.75" customHeight="1">
      <c r="A226" s="47"/>
      <c r="B226" s="40" t="s">
        <v>1660</v>
      </c>
      <c r="C226" s="783" t="s">
        <v>3946</v>
      </c>
      <c r="D226" s="146"/>
      <c r="E226" s="783"/>
      <c r="F226" s="783"/>
      <c r="G226" s="783"/>
      <c r="H226" s="783"/>
      <c r="I226" s="93"/>
      <c r="J226" s="439" t="s">
        <v>1429</v>
      </c>
      <c r="K226" s="3965" t="s">
        <v>7003</v>
      </c>
      <c r="L226" s="3966"/>
      <c r="M226" s="3966"/>
      <c r="N226" s="3967"/>
      <c r="O226" s="1601"/>
      <c r="P226" s="987"/>
      <c r="Q226" s="2954"/>
      <c r="R226" s="42"/>
    </row>
    <row r="227" spans="1:32" ht="12.75" customHeight="1">
      <c r="A227" s="47" t="s">
        <v>1895</v>
      </c>
      <c r="B227" s="52" t="s">
        <v>4231</v>
      </c>
      <c r="D227" s="52"/>
      <c r="E227" s="52"/>
      <c r="F227" s="52"/>
      <c r="G227" s="52"/>
      <c r="H227" s="52"/>
      <c r="I227" s="52"/>
      <c r="J227" s="52"/>
      <c r="K227" s="42"/>
      <c r="L227" s="42"/>
      <c r="M227" s="42"/>
      <c r="N227" s="42"/>
      <c r="O227" s="439" t="s">
        <v>1895</v>
      </c>
      <c r="P227" s="2489" t="s">
        <v>6931</v>
      </c>
      <c r="Q227" s="2966"/>
    </row>
    <row r="228" spans="1:32" ht="12.75" customHeight="1">
      <c r="A228" s="47"/>
      <c r="B228" s="52" t="s">
        <v>4033</v>
      </c>
      <c r="D228" s="52"/>
      <c r="E228" s="52"/>
      <c r="F228" s="52"/>
      <c r="G228" s="52"/>
      <c r="H228" s="52"/>
      <c r="I228" s="52"/>
      <c r="J228" s="52"/>
      <c r="K228" s="42"/>
      <c r="L228" s="42"/>
      <c r="M228" s="42"/>
      <c r="N228" s="439" t="s">
        <v>3273</v>
      </c>
      <c r="O228" s="1312">
        <f>'Part VI-Revenues &amp; Expenses'!$P$67</f>
        <v>50</v>
      </c>
      <c r="P228" s="4048" t="s">
        <v>4035</v>
      </c>
      <c r="Q228" s="4049"/>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2022</v>
      </c>
      <c r="C230" s="4050" t="s">
        <v>4089</v>
      </c>
      <c r="D230" s="4051"/>
      <c r="E230" s="4051"/>
      <c r="F230" s="4051"/>
      <c r="G230" s="4052"/>
      <c r="H230" s="439" t="s">
        <v>2022</v>
      </c>
      <c r="I230" s="4053" t="s">
        <v>3553</v>
      </c>
      <c r="J230" s="4054"/>
      <c r="K230" s="4054"/>
      <c r="L230" s="4054"/>
      <c r="M230" s="4054"/>
      <c r="N230" s="4054"/>
      <c r="O230" s="4055"/>
      <c r="P230" s="2952"/>
      <c r="Q230" s="2968"/>
      <c r="AE230" s="54"/>
      <c r="AF230" s="54"/>
    </row>
    <row r="231" spans="1:32" s="43" customFormat="1" ht="12.75" customHeight="1">
      <c r="A231" s="51"/>
      <c r="B231" s="439" t="s">
        <v>2023</v>
      </c>
      <c r="C231" s="4019" t="s">
        <v>4031</v>
      </c>
      <c r="D231" s="4020"/>
      <c r="E231" s="4020"/>
      <c r="F231" s="4020"/>
      <c r="G231" s="4021"/>
      <c r="H231" s="439" t="s">
        <v>2023</v>
      </c>
      <c r="I231" s="3421"/>
      <c r="J231" s="3372"/>
      <c r="K231" s="3372"/>
      <c r="L231" s="3372"/>
      <c r="M231" s="3372"/>
      <c r="N231" s="3372"/>
      <c r="O231" s="3373"/>
      <c r="P231" s="2953"/>
      <c r="Q231" s="2969"/>
      <c r="AE231" s="54"/>
      <c r="AF231" s="54"/>
    </row>
    <row r="232" spans="1:32" s="43" customFormat="1" ht="12.75" customHeight="1">
      <c r="A232" s="51"/>
      <c r="B232" s="439" t="s">
        <v>1655</v>
      </c>
      <c r="C232" s="4019" t="s">
        <v>4029</v>
      </c>
      <c r="D232" s="4020"/>
      <c r="E232" s="4020"/>
      <c r="F232" s="4020"/>
      <c r="G232" s="4021"/>
      <c r="H232" s="439" t="s">
        <v>1655</v>
      </c>
      <c r="I232" s="3421" t="s">
        <v>3553</v>
      </c>
      <c r="J232" s="3372"/>
      <c r="K232" s="3372"/>
      <c r="L232" s="3372"/>
      <c r="M232" s="3372"/>
      <c r="N232" s="3372"/>
      <c r="O232" s="3373"/>
      <c r="P232" s="2953"/>
      <c r="Q232" s="2969"/>
      <c r="AE232" s="54"/>
      <c r="AF232" s="54"/>
    </row>
    <row r="233" spans="1:32" s="43" customFormat="1" ht="12.75" customHeight="1">
      <c r="A233" s="51"/>
      <c r="B233" s="439" t="s">
        <v>4045</v>
      </c>
      <c r="C233" s="3991"/>
      <c r="D233" s="3992"/>
      <c r="E233" s="3992"/>
      <c r="F233" s="3992"/>
      <c r="G233" s="3993"/>
      <c r="H233" s="439" t="s">
        <v>4045</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6931</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6335</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7" t="s">
        <v>6450</v>
      </c>
      <c r="D240" s="4007"/>
      <c r="E240" s="4007"/>
      <c r="F240" s="4007"/>
      <c r="G240" s="4007"/>
      <c r="H240" s="4007"/>
      <c r="I240" s="4007"/>
      <c r="J240" s="4007"/>
      <c r="K240" s="4007"/>
      <c r="L240" s="4007"/>
      <c r="M240" s="4007"/>
      <c r="N240" s="4007"/>
      <c r="O240" s="159" t="s">
        <v>1488</v>
      </c>
      <c r="P240" s="2665" t="s">
        <v>2769</v>
      </c>
      <c r="Q240" s="2962"/>
    </row>
    <row r="241" spans="1:32" ht="12" customHeight="1">
      <c r="A241" s="47" t="s">
        <v>2021</v>
      </c>
      <c r="B241" s="52" t="s">
        <v>6311</v>
      </c>
      <c r="C241" s="52"/>
      <c r="E241" s="52"/>
      <c r="F241" s="52"/>
      <c r="G241" s="52"/>
      <c r="H241" s="52"/>
      <c r="I241" s="52"/>
      <c r="J241" s="52"/>
      <c r="K241" s="42"/>
      <c r="M241" s="1292" t="str">
        <f>'Part I-Project Information'!$H$77</f>
        <v>HFOP</v>
      </c>
      <c r="O241" s="439" t="s">
        <v>2021</v>
      </c>
      <c r="P241" s="2492" t="s">
        <v>6931</v>
      </c>
      <c r="Q241" s="2952"/>
    </row>
    <row r="242" spans="1:32" ht="12" customHeight="1">
      <c r="B242" s="144" t="s">
        <v>1658</v>
      </c>
      <c r="C242" s="39" t="s">
        <v>1209</v>
      </c>
      <c r="E242" s="42"/>
      <c r="F242" s="42"/>
      <c r="G242" s="39"/>
      <c r="H242" s="783"/>
      <c r="I242" s="42"/>
      <c r="J242" s="783"/>
      <c r="K242" s="42"/>
      <c r="L242" s="783"/>
      <c r="M242" s="783"/>
      <c r="O242" s="65" t="s">
        <v>1658</v>
      </c>
      <c r="P242" s="2669" t="s">
        <v>2769</v>
      </c>
      <c r="Q242" s="2953"/>
    </row>
    <row r="243" spans="1:32" ht="12" customHeight="1">
      <c r="B243" s="144" t="s">
        <v>1659</v>
      </c>
      <c r="C243" s="36" t="s">
        <v>3960</v>
      </c>
      <c r="E243" s="42"/>
      <c r="F243" s="42"/>
      <c r="G243" s="783"/>
      <c r="H243" s="783"/>
      <c r="I243" s="42"/>
      <c r="J243" s="783"/>
      <c r="K243" s="42"/>
      <c r="L243" s="783"/>
      <c r="M243" s="783"/>
      <c r="O243" s="65" t="s">
        <v>1659</v>
      </c>
      <c r="P243" s="2668" t="s">
        <v>2769</v>
      </c>
      <c r="Q243" s="2954"/>
    </row>
    <row r="244" spans="1:32" ht="11.25" customHeight="1">
      <c r="B244" s="139" t="s">
        <v>3372</v>
      </c>
      <c r="D244" s="139"/>
      <c r="E244" s="139"/>
      <c r="F244" s="139"/>
      <c r="G244" s="139"/>
      <c r="H244" s="40"/>
      <c r="I244" s="2667"/>
      <c r="J244" s="2667"/>
      <c r="K244" s="2667"/>
      <c r="L244" s="1401"/>
      <c r="M244" s="1401"/>
      <c r="N244" s="1401"/>
      <c r="O244" s="1401"/>
      <c r="P244" s="1401"/>
      <c r="Q244" s="782"/>
    </row>
    <row r="245" spans="1:32" ht="12" customHeight="1">
      <c r="A245" s="3959" t="s">
        <v>6946</v>
      </c>
      <c r="B245" s="3960"/>
      <c r="C245" s="3960"/>
      <c r="D245" s="3960"/>
      <c r="E245" s="3960"/>
      <c r="F245" s="3960"/>
      <c r="G245" s="3960"/>
      <c r="H245" s="3960"/>
      <c r="I245" s="3960"/>
      <c r="J245" s="3960"/>
      <c r="K245" s="3960"/>
      <c r="L245" s="3960"/>
      <c r="M245" s="3960"/>
      <c r="N245" s="3960"/>
      <c r="O245" s="3960"/>
      <c r="P245" s="3960"/>
      <c r="Q245" s="3961"/>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3"/>
      <c r="B247" s="3954"/>
      <c r="C247" s="3954"/>
      <c r="D247" s="3954"/>
      <c r="E247" s="3954"/>
      <c r="F247" s="3954"/>
      <c r="G247" s="3954"/>
      <c r="H247" s="3954"/>
      <c r="I247" s="3954"/>
      <c r="J247" s="3954"/>
      <c r="K247" s="3954"/>
      <c r="L247" s="3954"/>
      <c r="M247" s="3954"/>
      <c r="N247" s="3954"/>
      <c r="O247" s="3954"/>
      <c r="P247" s="3954"/>
      <c r="Q247" s="3955"/>
    </row>
    <row r="248" spans="1:32" ht="14.1" customHeight="1">
      <c r="A248" s="2647" t="s">
        <v>2605</v>
      </c>
      <c r="B248" s="2647" t="s">
        <v>6336</v>
      </c>
      <c r="C248" s="40"/>
      <c r="D248" s="2653"/>
      <c r="E248" s="2653"/>
      <c r="F248" s="2653"/>
      <c r="G248" s="2653"/>
      <c r="H248" s="2653"/>
      <c r="I248" s="2653"/>
      <c r="J248" s="2653"/>
      <c r="K248" s="1409" t="s">
        <v>431</v>
      </c>
      <c r="L248" s="1409" t="str">
        <f>'Part I-Project Information'!$N$40</f>
        <v>Yes</v>
      </c>
      <c r="M248" s="2653"/>
      <c r="O248" s="130" t="s">
        <v>1781</v>
      </c>
      <c r="P248" s="3962"/>
      <c r="Q248" s="3963"/>
    </row>
    <row r="249" spans="1:32" ht="11.25" customHeight="1">
      <c r="A249" s="140" t="s">
        <v>1893</v>
      </c>
      <c r="B249" s="138" t="s">
        <v>6339</v>
      </c>
    </row>
    <row r="250" spans="1:32" ht="10.5" customHeight="1">
      <c r="A250" s="140"/>
      <c r="B250" s="52" t="s">
        <v>6341</v>
      </c>
      <c r="C250" s="42"/>
      <c r="D250" s="42"/>
      <c r="E250" s="42"/>
      <c r="F250" s="42"/>
      <c r="G250" s="42"/>
      <c r="H250" s="42"/>
      <c r="I250" s="42"/>
      <c r="J250" s="2643" t="s">
        <v>6340</v>
      </c>
      <c r="K250" s="52" t="s">
        <v>6341</v>
      </c>
      <c r="L250" s="42"/>
      <c r="M250" s="42"/>
      <c r="N250" s="42"/>
      <c r="O250" s="42"/>
      <c r="P250" s="42"/>
      <c r="Q250" s="2643" t="s">
        <v>6340</v>
      </c>
    </row>
    <row r="251" spans="1:32" s="131" customFormat="1" ht="12" customHeight="1">
      <c r="B251" s="4053"/>
      <c r="C251" s="4054"/>
      <c r="D251" s="4054"/>
      <c r="E251" s="4054"/>
      <c r="F251" s="4054"/>
      <c r="G251" s="4054"/>
      <c r="H251" s="4054"/>
      <c r="I251" s="4054"/>
      <c r="J251" s="2503"/>
      <c r="K251" s="4053"/>
      <c r="L251" s="4054"/>
      <c r="M251" s="4054"/>
      <c r="N251" s="4054"/>
      <c r="O251" s="4054"/>
      <c r="P251" s="4054"/>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6"/>
      <c r="Q259" s="2958"/>
    </row>
    <row r="260" spans="1:32" s="403" customFormat="1" ht="23.25" customHeight="1">
      <c r="A260" s="140" t="s">
        <v>719</v>
      </c>
      <c r="B260" s="3964" t="s">
        <v>6338</v>
      </c>
      <c r="C260" s="3964"/>
      <c r="D260" s="3964"/>
      <c r="E260" s="3964"/>
      <c r="F260" s="3964"/>
      <c r="G260" s="3964"/>
      <c r="H260" s="3964"/>
      <c r="I260" s="3964"/>
      <c r="J260" s="3964"/>
      <c r="K260" s="3964"/>
      <c r="L260" s="3964"/>
      <c r="M260" s="3964"/>
      <c r="N260" s="3964"/>
      <c r="O260" s="159" t="s">
        <v>719</v>
      </c>
      <c r="P260" s="2664"/>
      <c r="Q260" s="2960"/>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65"/>
      <c r="Q261" s="2962"/>
      <c r="AE261" s="444"/>
      <c r="AF261" s="444"/>
    </row>
    <row r="262" spans="1:32" ht="11.25" customHeight="1">
      <c r="B262" s="139" t="s">
        <v>3372</v>
      </c>
      <c r="D262" s="139"/>
      <c r="E262" s="139"/>
      <c r="F262" s="139"/>
      <c r="G262" s="139"/>
      <c r="H262" s="40"/>
      <c r="I262" s="2667"/>
      <c r="J262" s="2667"/>
      <c r="K262" s="2667"/>
      <c r="L262" s="1401"/>
      <c r="M262" s="1401"/>
      <c r="N262" s="1401"/>
      <c r="O262" s="1401"/>
      <c r="P262" s="1401"/>
      <c r="Q262" s="782"/>
    </row>
    <row r="263" spans="1:32" ht="12" customHeight="1">
      <c r="A263" s="3959" t="s">
        <v>931</v>
      </c>
      <c r="B263" s="3960"/>
      <c r="C263" s="3960"/>
      <c r="D263" s="3960"/>
      <c r="E263" s="3960"/>
      <c r="F263" s="3960"/>
      <c r="G263" s="3960"/>
      <c r="H263" s="3960"/>
      <c r="I263" s="3960"/>
      <c r="J263" s="3960"/>
      <c r="K263" s="3960"/>
      <c r="L263" s="3960"/>
      <c r="M263" s="3960"/>
      <c r="N263" s="3960"/>
      <c r="O263" s="3960"/>
      <c r="P263" s="3960"/>
      <c r="Q263" s="3961"/>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3"/>
      <c r="B265" s="3954"/>
      <c r="C265" s="3954"/>
      <c r="D265" s="3954"/>
      <c r="E265" s="3954"/>
      <c r="F265" s="3954"/>
      <c r="G265" s="3954"/>
      <c r="H265" s="3954"/>
      <c r="I265" s="3954"/>
      <c r="J265" s="3954"/>
      <c r="K265" s="3954"/>
      <c r="L265" s="3954"/>
      <c r="M265" s="3954"/>
      <c r="N265" s="3954"/>
      <c r="O265" s="3954"/>
      <c r="P265" s="3954"/>
      <c r="Q265" s="3955"/>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2149</v>
      </c>
      <c r="B267" s="4" t="s">
        <v>4150</v>
      </c>
      <c r="C267" s="4"/>
      <c r="D267" s="86"/>
      <c r="E267" s="86"/>
      <c r="F267" s="86"/>
      <c r="G267" s="86"/>
      <c r="H267" s="2653"/>
      <c r="I267" s="2653"/>
      <c r="J267" s="2653"/>
      <c r="K267" s="2653"/>
      <c r="L267" s="1343"/>
      <c r="M267" s="1344"/>
      <c r="O267" s="130" t="s">
        <v>1781</v>
      </c>
      <c r="P267" s="3962"/>
      <c r="Q267" s="3963"/>
    </row>
    <row r="268" spans="1:32" s="27" customFormat="1" ht="12" customHeight="1">
      <c r="B268" s="55" t="s">
        <v>6451</v>
      </c>
      <c r="N268" s="119"/>
      <c r="P268" s="2489"/>
      <c r="Q268" s="2966"/>
      <c r="AE268" s="115"/>
      <c r="AF268" s="115"/>
    </row>
    <row r="269" spans="1:32" ht="11.45" customHeight="1">
      <c r="A269" s="47" t="s">
        <v>1893</v>
      </c>
      <c r="B269" s="52" t="s">
        <v>1220</v>
      </c>
      <c r="D269" s="42"/>
      <c r="E269" s="52"/>
      <c r="F269" s="52"/>
      <c r="J269" s="439" t="s">
        <v>1893</v>
      </c>
      <c r="K269" s="4016"/>
      <c r="L269" s="4017"/>
      <c r="M269" s="4017"/>
      <c r="N269" s="4017"/>
      <c r="O269" s="4018"/>
      <c r="P269" s="4154" t="s">
        <v>1691</v>
      </c>
      <c r="Q269" s="4155"/>
    </row>
    <row r="270" spans="1:32" s="27" customFormat="1" ht="34.5" customHeight="1">
      <c r="B270" s="3951" t="s">
        <v>6452</v>
      </c>
      <c r="C270" s="3951"/>
      <c r="D270" s="3951"/>
      <c r="E270" s="3951"/>
      <c r="F270" s="3951"/>
      <c r="G270" s="3951"/>
      <c r="H270" s="3951"/>
      <c r="I270" s="3951"/>
      <c r="J270" s="3951"/>
      <c r="K270" s="3951"/>
      <c r="L270" s="3951"/>
      <c r="M270" s="3951"/>
      <c r="N270" s="3951"/>
      <c r="O270" s="3977"/>
      <c r="P270" s="2506"/>
      <c r="Q270" s="2971"/>
      <c r="AE270" s="115"/>
      <c r="AF270" s="115"/>
    </row>
    <row r="271" spans="1:32" ht="12" customHeight="1">
      <c r="A271" s="47" t="s">
        <v>1895</v>
      </c>
      <c r="B271" s="52" t="s">
        <v>2617</v>
      </c>
      <c r="D271" s="52"/>
      <c r="E271" s="52"/>
      <c r="F271" s="52"/>
      <c r="J271" s="439" t="s">
        <v>1895</v>
      </c>
      <c r="K271" s="4130"/>
      <c r="L271" s="4131"/>
      <c r="M271" s="4131"/>
      <c r="N271" s="4131"/>
      <c r="O271" s="4132"/>
      <c r="P271" s="4126"/>
      <c r="Q271" s="4127"/>
    </row>
    <row r="272" spans="1:32" s="146" customFormat="1" ht="12" customHeight="1">
      <c r="A272" s="47"/>
      <c r="B272" s="2653" t="s">
        <v>1658</v>
      </c>
      <c r="C272" s="52" t="s">
        <v>1856</v>
      </c>
      <c r="D272" s="52"/>
      <c r="E272" s="52"/>
      <c r="F272" s="52"/>
      <c r="J272" s="65" t="s">
        <v>1658</v>
      </c>
      <c r="K272" s="3965"/>
      <c r="L272" s="3966"/>
      <c r="M272" s="3966"/>
      <c r="N272" s="3966"/>
      <c r="O272" s="3967"/>
      <c r="P272" s="4128"/>
      <c r="Q272" s="4129"/>
      <c r="AE272" s="443"/>
      <c r="AF272" s="443"/>
    </row>
    <row r="273" spans="1:32" s="146" customFormat="1" ht="12" customHeight="1">
      <c r="A273" s="47"/>
      <c r="B273" s="2653" t="s">
        <v>1659</v>
      </c>
      <c r="C273" s="52" t="s">
        <v>6453</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4" t="s">
        <v>6463</v>
      </c>
      <c r="D274" s="3964"/>
      <c r="E274" s="3964"/>
      <c r="F274" s="3964"/>
      <c r="G274" s="3964"/>
      <c r="H274" s="3964"/>
      <c r="I274" s="3964"/>
      <c r="J274" s="3964"/>
      <c r="K274" s="3964"/>
      <c r="L274" s="3964"/>
      <c r="M274" s="3964"/>
      <c r="N274" s="3964"/>
      <c r="O274" s="147" t="s">
        <v>1660</v>
      </c>
      <c r="P274" s="2655"/>
      <c r="Q274" s="2972"/>
      <c r="AE274" s="443"/>
      <c r="AF274" s="443"/>
    </row>
    <row r="275" spans="1:32" s="146" customFormat="1" ht="24" customHeight="1">
      <c r="A275" s="47"/>
      <c r="B275" s="2653" t="s">
        <v>2260</v>
      </c>
      <c r="C275" s="3964" t="s">
        <v>6464</v>
      </c>
      <c r="D275" s="3964"/>
      <c r="E275" s="3964"/>
      <c r="F275" s="3964"/>
      <c r="G275" s="3964"/>
      <c r="H275" s="3964"/>
      <c r="I275" s="3964"/>
      <c r="J275" s="3964"/>
      <c r="K275" s="3964"/>
      <c r="L275" s="3964"/>
      <c r="M275" s="3964"/>
      <c r="N275" s="3964"/>
      <c r="O275" s="159" t="s">
        <v>2260</v>
      </c>
      <c r="P275" s="2665"/>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3964" t="s">
        <v>3377</v>
      </c>
      <c r="C277" s="3964"/>
      <c r="D277" s="3964"/>
      <c r="E277" s="3964"/>
      <c r="F277" s="3964"/>
      <c r="G277" s="3964"/>
      <c r="H277" s="418" t="s">
        <v>3532</v>
      </c>
      <c r="K277" s="93"/>
      <c r="M277" s="36"/>
      <c r="N277" s="896"/>
      <c r="O277" s="65" t="s">
        <v>1658</v>
      </c>
      <c r="P277" s="2669"/>
      <c r="Q277" s="2953"/>
      <c r="AE277" s="443"/>
      <c r="AF277" s="443"/>
    </row>
    <row r="278" spans="1:32" s="146" customFormat="1" ht="12" customHeight="1">
      <c r="A278" s="47"/>
      <c r="B278" s="3964"/>
      <c r="C278" s="3964"/>
      <c r="D278" s="3964"/>
      <c r="E278" s="3964"/>
      <c r="F278" s="3964"/>
      <c r="G278" s="3964"/>
      <c r="H278" s="55" t="s">
        <v>3533</v>
      </c>
      <c r="K278" s="93"/>
      <c r="M278" s="36"/>
      <c r="N278" s="896"/>
      <c r="O278" s="65" t="s">
        <v>1659</v>
      </c>
      <c r="P278" s="2669"/>
      <c r="Q278" s="2953"/>
      <c r="AE278" s="443"/>
      <c r="AF278" s="443"/>
    </row>
    <row r="279" spans="1:32" s="146" customFormat="1" ht="12" customHeight="1">
      <c r="A279" s="47"/>
      <c r="B279" s="52"/>
      <c r="D279" s="52"/>
      <c r="E279" s="52"/>
      <c r="F279" s="52"/>
      <c r="G279" s="52"/>
      <c r="H279" s="55" t="s">
        <v>3534</v>
      </c>
      <c r="K279" s="93"/>
      <c r="M279" s="36"/>
      <c r="N279" s="896"/>
      <c r="O279" s="65" t="s">
        <v>1660</v>
      </c>
      <c r="P279" s="2669"/>
      <c r="Q279" s="2953"/>
      <c r="AE279" s="443"/>
      <c r="AF279" s="443"/>
    </row>
    <row r="280" spans="1:32" s="146" customFormat="1" ht="12" customHeight="1">
      <c r="A280" s="47"/>
      <c r="B280" s="52"/>
      <c r="D280" s="52"/>
      <c r="E280" s="52"/>
      <c r="F280" s="52"/>
      <c r="G280" s="52"/>
      <c r="H280" s="55" t="s">
        <v>3535</v>
      </c>
      <c r="K280" s="93"/>
      <c r="M280" s="36"/>
      <c r="N280" s="896"/>
      <c r="O280" s="439" t="s">
        <v>2260</v>
      </c>
      <c r="P280" s="2669"/>
      <c r="Q280" s="2953"/>
      <c r="AE280" s="443"/>
      <c r="AF280" s="443"/>
    </row>
    <row r="281" spans="1:32" s="146" customFormat="1" ht="23.25" customHeight="1">
      <c r="B281" s="784" t="s">
        <v>6824</v>
      </c>
      <c r="C281" s="3964" t="s">
        <v>6823</v>
      </c>
      <c r="D281" s="3964"/>
      <c r="E281" s="3964"/>
      <c r="F281" s="3964"/>
      <c r="G281" s="3964"/>
      <c r="H281" s="3964"/>
      <c r="I281" s="3964"/>
      <c r="J281" s="3964"/>
      <c r="K281" s="3964"/>
      <c r="L281" s="3964"/>
      <c r="M281" s="3964"/>
      <c r="N281" s="3964"/>
      <c r="O281" s="159" t="s">
        <v>1487</v>
      </c>
      <c r="P281" s="2665"/>
      <c r="Q281" s="2962"/>
      <c r="T281" s="443"/>
      <c r="AE281" s="443"/>
      <c r="AF281" s="443"/>
    </row>
    <row r="282" spans="1:32" ht="12" customHeight="1">
      <c r="B282" s="139" t="s">
        <v>3372</v>
      </c>
      <c r="D282" s="139"/>
      <c r="E282" s="139"/>
      <c r="F282" s="139"/>
      <c r="G282" s="139"/>
      <c r="H282" s="40"/>
      <c r="I282" s="2667"/>
      <c r="J282" s="2667"/>
      <c r="K282" s="2667"/>
      <c r="L282" s="1401"/>
      <c r="M282" s="1401"/>
      <c r="N282" s="1401"/>
      <c r="O282" s="1401"/>
      <c r="P282" s="1401"/>
      <c r="Q282" s="782"/>
    </row>
    <row r="283" spans="1:32" ht="12" customHeight="1">
      <c r="A283" s="3959" t="s">
        <v>6947</v>
      </c>
      <c r="B283" s="3960"/>
      <c r="C283" s="3960"/>
      <c r="D283" s="3960"/>
      <c r="E283" s="3960"/>
      <c r="F283" s="3960"/>
      <c r="G283" s="3960"/>
      <c r="H283" s="3960"/>
      <c r="I283" s="3960"/>
      <c r="J283" s="3960"/>
      <c r="K283" s="3960"/>
      <c r="L283" s="3960"/>
      <c r="M283" s="3960"/>
      <c r="N283" s="3960"/>
      <c r="O283" s="3960"/>
      <c r="P283" s="3960"/>
      <c r="Q283" s="3961"/>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3"/>
      <c r="B285" s="3954"/>
      <c r="C285" s="3954"/>
      <c r="D285" s="3954"/>
      <c r="E285" s="3954"/>
      <c r="F285" s="3954"/>
      <c r="G285" s="3954"/>
      <c r="H285" s="3954"/>
      <c r="I285" s="3954"/>
      <c r="J285" s="3954"/>
      <c r="K285" s="3954"/>
      <c r="L285" s="3954"/>
      <c r="M285" s="3954"/>
      <c r="N285" s="3954"/>
      <c r="O285" s="3954"/>
      <c r="P285" s="3954"/>
      <c r="Q285" s="3955"/>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3520</v>
      </c>
      <c r="B287" s="4" t="s">
        <v>2520</v>
      </c>
      <c r="C287" s="4"/>
      <c r="D287" s="86"/>
      <c r="E287" s="86"/>
      <c r="F287" s="86"/>
      <c r="G287" s="86"/>
      <c r="H287" s="2653"/>
      <c r="I287" s="2653"/>
      <c r="J287" s="2653"/>
      <c r="K287" s="2653"/>
      <c r="L287" s="2653"/>
      <c r="M287" s="2653"/>
      <c r="O287" s="130" t="s">
        <v>1781</v>
      </c>
      <c r="P287" s="3962"/>
      <c r="Q287" s="3963"/>
    </row>
    <row r="288" spans="1:32" s="403" customFormat="1" ht="21.75" customHeight="1">
      <c r="A288" s="140" t="s">
        <v>1893</v>
      </c>
      <c r="B288" s="2653" t="s">
        <v>1658</v>
      </c>
      <c r="C288" s="3964" t="s">
        <v>4232</v>
      </c>
      <c r="D288" s="3964"/>
      <c r="E288" s="3964"/>
      <c r="F288" s="3964"/>
      <c r="G288" s="3964"/>
      <c r="H288" s="3964"/>
      <c r="I288" s="3964"/>
      <c r="J288" s="3964"/>
      <c r="K288" s="3964"/>
      <c r="L288" s="3964"/>
      <c r="M288" s="3964"/>
      <c r="N288" s="3964"/>
      <c r="O288" s="1490" t="s">
        <v>1427</v>
      </c>
      <c r="P288" s="2502" t="s">
        <v>2769</v>
      </c>
      <c r="Q288" s="2967"/>
      <c r="AE288" s="444"/>
      <c r="AF288" s="444"/>
    </row>
    <row r="289" spans="1:32" s="146" customFormat="1" ht="11.45" customHeight="1">
      <c r="A289" s="47"/>
      <c r="B289" s="2653" t="s">
        <v>1659</v>
      </c>
      <c r="C289" s="52" t="s">
        <v>3374</v>
      </c>
      <c r="D289" s="52"/>
      <c r="E289" s="52"/>
      <c r="F289" s="52"/>
      <c r="G289" s="52"/>
      <c r="H289" s="52"/>
      <c r="I289" s="52"/>
      <c r="J289" s="52"/>
      <c r="K289" s="52"/>
      <c r="L289" s="52"/>
      <c r="M289" s="52"/>
      <c r="O289" s="1490" t="s">
        <v>1659</v>
      </c>
      <c r="P289" s="2668" t="s">
        <v>2769</v>
      </c>
      <c r="Q289" s="2954"/>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68" t="s">
        <v>2769</v>
      </c>
      <c r="Q290" s="2954"/>
      <c r="AE290" s="443"/>
      <c r="AF290" s="443"/>
    </row>
    <row r="291" spans="1:32" s="403" customFormat="1" ht="23.25" customHeight="1">
      <c r="A291" s="140" t="s">
        <v>719</v>
      </c>
      <c r="B291" s="2653" t="s">
        <v>1658</v>
      </c>
      <c r="C291" s="3964" t="s">
        <v>4259</v>
      </c>
      <c r="D291" s="3964"/>
      <c r="E291" s="3964"/>
      <c r="F291" s="3964"/>
      <c r="G291" s="3964"/>
      <c r="H291" s="3964"/>
      <c r="I291" s="3964"/>
      <c r="J291" s="3964"/>
      <c r="K291" s="3964"/>
      <c r="L291" s="3964"/>
      <c r="M291" s="3964"/>
      <c r="N291" s="3964"/>
      <c r="O291" s="1490" t="s">
        <v>4260</v>
      </c>
      <c r="P291" s="2502" t="s">
        <v>2769</v>
      </c>
      <c r="Q291" s="2967"/>
      <c r="AE291" s="444"/>
      <c r="AF291" s="444"/>
    </row>
    <row r="292" spans="1:32" s="146" customFormat="1" ht="11.45" customHeight="1">
      <c r="A292" s="47"/>
      <c r="B292" s="2653" t="s">
        <v>1659</v>
      </c>
      <c r="C292" s="52" t="s">
        <v>3376</v>
      </c>
      <c r="D292" s="52"/>
      <c r="E292" s="52"/>
      <c r="F292" s="52"/>
      <c r="G292" s="52"/>
      <c r="H292" s="52"/>
      <c r="I292" s="52"/>
      <c r="J292" s="52"/>
      <c r="K292" s="52"/>
      <c r="L292" s="52"/>
      <c r="M292" s="52"/>
      <c r="O292" s="1490" t="s">
        <v>1659</v>
      </c>
      <c r="P292" s="2668" t="s">
        <v>2769</v>
      </c>
      <c r="Q292" s="2954"/>
      <c r="AE292" s="443"/>
      <c r="AF292" s="443"/>
    </row>
    <row r="293" spans="1:32" s="146" customFormat="1" ht="22.5" customHeight="1">
      <c r="A293" s="140" t="s">
        <v>2021</v>
      </c>
      <c r="B293" s="3964" t="s">
        <v>6343</v>
      </c>
      <c r="C293" s="3964"/>
      <c r="D293" s="3964"/>
      <c r="E293" s="3964"/>
      <c r="F293" s="3964"/>
      <c r="G293" s="3964"/>
      <c r="H293" s="3964"/>
      <c r="I293" s="3964"/>
      <c r="J293" s="3964"/>
      <c r="K293" s="3964"/>
      <c r="L293" s="3964"/>
      <c r="M293" s="3964"/>
      <c r="N293" s="3964"/>
      <c r="O293" s="159" t="s">
        <v>2021</v>
      </c>
      <c r="P293" s="2665" t="s">
        <v>2769</v>
      </c>
      <c r="Q293" s="2962"/>
      <c r="AE293" s="443"/>
      <c r="AF293" s="443"/>
    </row>
    <row r="294" spans="1:32" ht="11.25" customHeight="1">
      <c r="B294" s="139" t="s">
        <v>3372</v>
      </c>
      <c r="D294" s="139"/>
      <c r="E294" s="139"/>
      <c r="F294" s="139"/>
      <c r="G294" s="139"/>
      <c r="H294" s="40"/>
      <c r="I294" s="2667"/>
      <c r="J294" s="2667"/>
      <c r="K294" s="2667"/>
      <c r="L294" s="1401"/>
      <c r="M294" s="1401"/>
      <c r="N294" s="1401"/>
      <c r="O294" s="1401"/>
      <c r="P294" s="1401"/>
      <c r="Q294" s="782"/>
    </row>
    <row r="295" spans="1:32" ht="28.15" customHeight="1">
      <c r="A295" s="3959" t="s">
        <v>6953</v>
      </c>
      <c r="B295" s="3960"/>
      <c r="C295" s="3960"/>
      <c r="D295" s="3960"/>
      <c r="E295" s="3960"/>
      <c r="F295" s="3960"/>
      <c r="G295" s="3960"/>
      <c r="H295" s="3960"/>
      <c r="I295" s="3960"/>
      <c r="J295" s="3960"/>
      <c r="K295" s="3960"/>
      <c r="L295" s="3960"/>
      <c r="M295" s="3960"/>
      <c r="N295" s="3960"/>
      <c r="O295" s="3960"/>
      <c r="P295" s="3960"/>
      <c r="Q295" s="3961"/>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3"/>
      <c r="B297" s="3954"/>
      <c r="C297" s="3954"/>
      <c r="D297" s="3954"/>
      <c r="E297" s="3954"/>
      <c r="F297" s="3954"/>
      <c r="G297" s="3954"/>
      <c r="H297" s="3954"/>
      <c r="I297" s="3954"/>
      <c r="J297" s="3954"/>
      <c r="K297" s="3954"/>
      <c r="L297" s="3954"/>
      <c r="M297" s="3954"/>
      <c r="N297" s="3954"/>
      <c r="O297" s="3954"/>
      <c r="P297" s="3954"/>
      <c r="Q297" s="3955"/>
    </row>
    <row r="298" spans="1:32" ht="3" customHeight="1"/>
    <row r="299" spans="1:32" ht="14.1" customHeight="1">
      <c r="A299" s="2647" t="s">
        <v>3521</v>
      </c>
      <c r="B299" s="2647" t="s">
        <v>2521</v>
      </c>
      <c r="C299" s="2647"/>
      <c r="D299" s="2653"/>
      <c r="E299" s="2653"/>
      <c r="F299" s="2653"/>
      <c r="G299" s="2653"/>
      <c r="H299" s="2653"/>
      <c r="I299" s="2653"/>
      <c r="J299" s="2653"/>
      <c r="K299" s="2653"/>
      <c r="L299" s="2653"/>
      <c r="M299" s="2653"/>
      <c r="O299" s="130" t="s">
        <v>1781</v>
      </c>
      <c r="P299" s="3962"/>
      <c r="Q299" s="3963"/>
    </row>
    <row r="300" spans="1:32" s="27" customFormat="1" ht="11.45" customHeight="1">
      <c r="B300" s="55" t="s">
        <v>6451</v>
      </c>
      <c r="N300" s="119"/>
      <c r="P300" s="2489" t="s">
        <v>2772</v>
      </c>
      <c r="Q300" s="2966"/>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64" t="s">
        <v>4026</v>
      </c>
      <c r="D302" s="3964"/>
      <c r="E302" s="3964"/>
      <c r="F302" s="3964"/>
      <c r="G302" s="3964"/>
      <c r="H302" s="3964"/>
      <c r="I302" s="3964"/>
      <c r="J302" s="3964"/>
      <c r="K302" s="3964"/>
      <c r="L302" s="3964"/>
      <c r="M302" s="3964"/>
      <c r="N302" s="3964"/>
      <c r="O302" s="1490" t="s">
        <v>1658</v>
      </c>
      <c r="P302" s="2502" t="s">
        <v>6931</v>
      </c>
      <c r="Q302" s="2967"/>
      <c r="AE302" s="444"/>
      <c r="AF302" s="444"/>
    </row>
    <row r="303" spans="1:32" s="403" customFormat="1" ht="21.75" customHeight="1">
      <c r="A303" s="140"/>
      <c r="B303" s="784" t="s">
        <v>1659</v>
      </c>
      <c r="C303" s="3964" t="s">
        <v>2618</v>
      </c>
      <c r="D303" s="3964"/>
      <c r="E303" s="3964"/>
      <c r="F303" s="3964"/>
      <c r="G303" s="3964"/>
      <c r="H303" s="3964"/>
      <c r="I303" s="3964"/>
      <c r="J303" s="3964"/>
      <c r="K303" s="3964"/>
      <c r="L303" s="3964"/>
      <c r="M303" s="3964"/>
      <c r="N303" s="3964"/>
      <c r="O303" s="1490" t="s">
        <v>1659</v>
      </c>
      <c r="P303" s="2665" t="s">
        <v>6931</v>
      </c>
      <c r="Q303" s="2962"/>
      <c r="AE303" s="444"/>
      <c r="AF303" s="444"/>
    </row>
    <row r="304" spans="1:32" s="27" customFormat="1" ht="12.75" customHeight="1">
      <c r="A304" s="137" t="s">
        <v>1895</v>
      </c>
      <c r="B304" s="175" t="s">
        <v>299</v>
      </c>
      <c r="C304" s="157"/>
      <c r="D304" s="522"/>
      <c r="E304" s="522"/>
      <c r="F304" s="157"/>
      <c r="J304" s="439" t="s">
        <v>1895</v>
      </c>
      <c r="K304" s="4102" t="s">
        <v>3386</v>
      </c>
      <c r="L304" s="4103"/>
      <c r="M304" s="4103"/>
      <c r="N304" s="4103"/>
      <c r="O304" s="4103"/>
      <c r="P304" s="4104"/>
      <c r="Q304" s="2973"/>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6931</v>
      </c>
      <c r="Q306" s="2973"/>
      <c r="R306" s="439"/>
    </row>
    <row r="307" spans="1:32" s="101" customFormat="1" ht="11.45" customHeight="1">
      <c r="A307" s="42"/>
      <c r="B307" s="139" t="s">
        <v>3372</v>
      </c>
      <c r="C307" s="42"/>
      <c r="D307" s="48"/>
      <c r="E307" s="48"/>
      <c r="F307" s="48"/>
      <c r="G307" s="48"/>
      <c r="K307" s="36"/>
      <c r="M307" s="46"/>
      <c r="N307" s="6"/>
      <c r="O307" s="3"/>
      <c r="P307" s="2650"/>
    </row>
    <row r="308" spans="1:32" s="43" customFormat="1" ht="21.75" customHeight="1">
      <c r="A308" s="3959" t="s">
        <v>6948</v>
      </c>
      <c r="B308" s="3960"/>
      <c r="C308" s="3960"/>
      <c r="D308" s="3960"/>
      <c r="E308" s="3960"/>
      <c r="F308" s="3960"/>
      <c r="G308" s="3960"/>
      <c r="H308" s="3960"/>
      <c r="I308" s="3960"/>
      <c r="J308" s="3960"/>
      <c r="K308" s="3960"/>
      <c r="L308" s="3960"/>
      <c r="M308" s="3960"/>
      <c r="N308" s="3960"/>
      <c r="O308" s="3960"/>
      <c r="P308" s="3960"/>
      <c r="Q308" s="3961"/>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3"/>
      <c r="B310" s="3954"/>
      <c r="C310" s="3954"/>
      <c r="D310" s="3954"/>
      <c r="E310" s="3954"/>
      <c r="F310" s="3954"/>
      <c r="G310" s="3954"/>
      <c r="H310" s="3954"/>
      <c r="I310" s="3954"/>
      <c r="J310" s="3954"/>
      <c r="K310" s="3954"/>
      <c r="L310" s="3954"/>
      <c r="M310" s="3954"/>
      <c r="N310" s="3954"/>
      <c r="O310" s="3954"/>
      <c r="P310" s="3954"/>
      <c r="Q310" s="3955"/>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3519</v>
      </c>
      <c r="B312" s="2647" t="s">
        <v>2522</v>
      </c>
      <c r="C312" s="2649"/>
      <c r="D312" s="2663"/>
      <c r="E312" s="2653"/>
      <c r="F312" s="2653"/>
      <c r="G312" s="2653"/>
      <c r="H312" s="2653"/>
      <c r="I312" s="2653"/>
      <c r="J312" s="2653"/>
      <c r="K312" s="2653"/>
      <c r="L312" s="2653"/>
      <c r="M312" s="2653"/>
      <c r="O312" s="130" t="s">
        <v>1781</v>
      </c>
      <c r="P312" s="3962"/>
      <c r="Q312" s="3963"/>
    </row>
    <row r="313" spans="1:32" s="27" customFormat="1" ht="11.45" customHeight="1">
      <c r="B313" s="55" t="s">
        <v>6451</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3964" t="s">
        <v>3452</v>
      </c>
      <c r="D315" s="3964"/>
      <c r="E315" s="3964"/>
      <c r="F315" s="3964"/>
      <c r="G315" s="3964"/>
      <c r="H315" s="3964"/>
      <c r="I315" s="3964"/>
      <c r="J315" s="3964"/>
      <c r="K315" s="3964"/>
      <c r="L315" s="3964"/>
      <c r="M315" s="3964"/>
      <c r="N315" s="3964"/>
      <c r="O315" s="159" t="s">
        <v>2568</v>
      </c>
      <c r="P315" s="2502" t="s">
        <v>2769</v>
      </c>
      <c r="Q315" s="2967"/>
      <c r="AE315" s="443"/>
      <c r="AF315" s="443"/>
    </row>
    <row r="316" spans="1:32" s="403" customFormat="1" ht="12" customHeight="1">
      <c r="A316" s="140"/>
      <c r="B316" s="1305" t="s">
        <v>1659</v>
      </c>
      <c r="C316" s="3964" t="s">
        <v>4258</v>
      </c>
      <c r="D316" s="3964"/>
      <c r="E316" s="3964"/>
      <c r="F316" s="3964"/>
      <c r="G316" s="3964"/>
      <c r="H316" s="3964"/>
      <c r="I316" s="3964"/>
      <c r="J316" s="3964"/>
      <c r="K316" s="3964"/>
      <c r="L316" s="3964"/>
      <c r="M316" s="3964"/>
      <c r="N316" s="3964"/>
      <c r="O316" s="147" t="s">
        <v>1659</v>
      </c>
      <c r="P316" s="2664" t="s">
        <v>2769</v>
      </c>
      <c r="Q316" s="2960"/>
      <c r="AE316" s="444"/>
      <c r="AF316" s="444"/>
    </row>
    <row r="317" spans="1:32" s="403" customFormat="1" ht="21.75" customHeight="1">
      <c r="A317" s="140"/>
      <c r="B317" s="451" t="s">
        <v>1660</v>
      </c>
      <c r="C317" s="3964" t="s">
        <v>6458</v>
      </c>
      <c r="D317" s="3964"/>
      <c r="E317" s="3964"/>
      <c r="F317" s="3964"/>
      <c r="G317" s="3964"/>
      <c r="H317" s="3964"/>
      <c r="I317" s="3964"/>
      <c r="J317" s="3964"/>
      <c r="K317" s="3964"/>
      <c r="L317" s="3964"/>
      <c r="M317" s="3964"/>
      <c r="N317" s="3964"/>
      <c r="O317" s="159" t="s">
        <v>1660</v>
      </c>
      <c r="P317" s="2665" t="s">
        <v>2769</v>
      </c>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4" t="s">
        <v>6461</v>
      </c>
      <c r="E319" s="3964"/>
      <c r="F319" s="3964"/>
      <c r="G319" s="3964"/>
      <c r="H319" s="3964"/>
      <c r="I319" s="138"/>
      <c r="J319" s="3952" t="s">
        <v>3400</v>
      </c>
      <c r="K319" s="4133"/>
      <c r="L319" s="4133"/>
      <c r="M319" s="4024" t="s">
        <v>3379</v>
      </c>
      <c r="N319" s="4024"/>
      <c r="AE319" s="445"/>
      <c r="AF319" s="445"/>
    </row>
    <row r="320" spans="1:32" s="289" customFormat="1" ht="10.5" customHeight="1">
      <c r="A320" s="300"/>
      <c r="B320" s="2618"/>
      <c r="D320" s="3964"/>
      <c r="E320" s="3964"/>
      <c r="F320" s="3964"/>
      <c r="G320" s="3964"/>
      <c r="H320" s="3964"/>
      <c r="I320" s="2629"/>
      <c r="J320" s="4133"/>
      <c r="K320" s="4133"/>
      <c r="L320" s="4133"/>
      <c r="M320" s="36" t="s">
        <v>3380</v>
      </c>
      <c r="N320" s="2667" t="s">
        <v>3399</v>
      </c>
      <c r="P320" s="298"/>
    </row>
    <row r="321" spans="1:33" s="289" customFormat="1" ht="13.35" customHeight="1">
      <c r="A321" s="300"/>
      <c r="B321" s="2618"/>
      <c r="D321" s="3964"/>
      <c r="E321" s="3964"/>
      <c r="F321" s="3964"/>
      <c r="G321" s="3964"/>
      <c r="H321" s="3964"/>
      <c r="I321" s="52" t="s">
        <v>3537</v>
      </c>
      <c r="K321" s="2508">
        <v>3</v>
      </c>
      <c r="L321" s="892" t="str">
        <f>IF(K321&lt;M321,"Check!!!","")</f>
        <v/>
      </c>
      <c r="M321" s="1667">
        <f>ROUNDUP('Part VI-Revenues &amp; Expenses'!$P$67*'Part VIII-Threshold Criteria'!N321,0)</f>
        <v>3</v>
      </c>
      <c r="N321" s="1291">
        <f>'DCA Underwriting Assumptions'!$Q$155</f>
        <v>0.05</v>
      </c>
      <c r="O321" s="439" t="s">
        <v>3288</v>
      </c>
      <c r="P321" s="2666"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4" t="s">
        <v>6462</v>
      </c>
      <c r="E322" s="3964"/>
      <c r="F322" s="3964"/>
      <c r="G322" s="3964"/>
      <c r="H322" s="3964"/>
      <c r="I322" s="774" t="s">
        <v>3538</v>
      </c>
      <c r="J322" s="289"/>
      <c r="K322" s="2509">
        <v>2</v>
      </c>
      <c r="L322" s="892" t="str">
        <f>IF(K322&lt;M322,"Check!!!","")</f>
        <v/>
      </c>
      <c r="M322" s="1668">
        <f>ROUNDUP(K321*'Part VIII-Threshold Criteria'!N322,0)</f>
        <v>2</v>
      </c>
      <c r="N322" s="1291">
        <f>'DCA Underwriting Assumptions'!$Q$156</f>
        <v>0.4</v>
      </c>
      <c r="O322" s="439" t="s">
        <v>2023</v>
      </c>
      <c r="P322" s="3999" t="s">
        <v>2769</v>
      </c>
      <c r="Q322" s="3997"/>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4"/>
      <c r="E323" s="3964"/>
      <c r="F323" s="3964"/>
      <c r="G323" s="3964"/>
      <c r="H323" s="3964"/>
      <c r="O323" s="40"/>
      <c r="P323" s="4000"/>
      <c r="Q323" s="399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4" t="s">
        <v>3371</v>
      </c>
      <c r="D324" s="3964"/>
      <c r="E324" s="3964"/>
      <c r="F324" s="3964"/>
      <c r="G324" s="3964"/>
      <c r="H324" s="3964"/>
      <c r="I324" s="52" t="s">
        <v>3539</v>
      </c>
      <c r="J324" s="289"/>
      <c r="K324" s="2510">
        <v>1</v>
      </c>
      <c r="L324" s="892" t="str">
        <f>IF(K324&lt;M324,"Check!!!","")</f>
        <v/>
      </c>
      <c r="M324" s="893">
        <f>ROUNDUP('Part VI-Revenues &amp; Expenses'!$P$67*'Part VIII-Threshold Criteria'!N324,0)</f>
        <v>1</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4"/>
      <c r="D325" s="3964"/>
      <c r="E325" s="3964"/>
      <c r="F325" s="3964"/>
      <c r="G325" s="3964"/>
      <c r="H325" s="3964"/>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64"/>
      <c r="D326" s="3964"/>
      <c r="E326" s="3964"/>
      <c r="F326" s="3964"/>
      <c r="G326" s="3964"/>
      <c r="H326" s="3964"/>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1" t="s">
        <v>3290</v>
      </c>
      <c r="C328" s="3951"/>
      <c r="D328" s="3951"/>
      <c r="E328" s="3951"/>
      <c r="F328" s="3951"/>
      <c r="G328" s="3951"/>
      <c r="H328" s="3951"/>
      <c r="I328" s="3951"/>
      <c r="J328" s="3951"/>
      <c r="K328" s="3951"/>
      <c r="L328" s="3951"/>
      <c r="M328" s="3951"/>
      <c r="N328" s="3951"/>
      <c r="O328" s="159" t="s">
        <v>719</v>
      </c>
      <c r="P328" s="2507" t="s">
        <v>2769</v>
      </c>
      <c r="Q328" s="2973"/>
      <c r="AE328" s="445"/>
      <c r="AF328" s="445"/>
    </row>
    <row r="329" spans="1:33" s="93" customFormat="1" ht="11.25" customHeight="1">
      <c r="B329" s="382" t="s">
        <v>3291</v>
      </c>
      <c r="D329" s="382"/>
      <c r="E329" s="382"/>
      <c r="F329" s="382"/>
      <c r="G329" s="382"/>
      <c r="H329" s="382"/>
      <c r="I329" s="382" t="s">
        <v>3378</v>
      </c>
      <c r="J329" s="382"/>
      <c r="K329" s="382"/>
      <c r="L329" s="3974" t="s">
        <v>6949</v>
      </c>
      <c r="M329" s="3975"/>
      <c r="N329" s="3975"/>
      <c r="O329" s="3975"/>
      <c r="P329" s="3975"/>
      <c r="Q329" s="3976"/>
      <c r="R329" s="382"/>
      <c r="AE329" s="445"/>
      <c r="AF329" s="445"/>
    </row>
    <row r="330" spans="1:33" s="403" customFormat="1" ht="44.25" customHeight="1">
      <c r="B330" s="1305" t="s">
        <v>1658</v>
      </c>
      <c r="C330" s="3964" t="s">
        <v>3289</v>
      </c>
      <c r="D330" s="3964"/>
      <c r="E330" s="3964"/>
      <c r="F330" s="3964"/>
      <c r="G330" s="3964"/>
      <c r="H330" s="3964"/>
      <c r="I330" s="3964"/>
      <c r="J330" s="3964"/>
      <c r="K330" s="3964"/>
      <c r="L330" s="3964"/>
      <c r="M330" s="3964"/>
      <c r="N330" s="3964"/>
      <c r="O330" s="159" t="s">
        <v>3294</v>
      </c>
      <c r="P330" s="2502" t="s">
        <v>2769</v>
      </c>
      <c r="Q330" s="2967"/>
      <c r="AE330" s="444"/>
      <c r="AF330" s="444"/>
    </row>
    <row r="331" spans="1:33" s="403" customFormat="1" ht="34.5" customHeight="1">
      <c r="B331" s="1305" t="s">
        <v>1659</v>
      </c>
      <c r="C331" s="3964" t="s">
        <v>4008</v>
      </c>
      <c r="D331" s="3964"/>
      <c r="E331" s="3964"/>
      <c r="F331" s="3964"/>
      <c r="G331" s="3964"/>
      <c r="H331" s="3964"/>
      <c r="I331" s="3964"/>
      <c r="J331" s="3964"/>
      <c r="K331" s="3964"/>
      <c r="L331" s="3964"/>
      <c r="M331" s="3964"/>
      <c r="N331" s="3964"/>
      <c r="O331" s="159" t="s">
        <v>3295</v>
      </c>
      <c r="P331" s="2664" t="s">
        <v>2769</v>
      </c>
      <c r="Q331" s="2960"/>
      <c r="AE331" s="444"/>
      <c r="AF331" s="444"/>
    </row>
    <row r="332" spans="1:33" s="403" customFormat="1" ht="22.5" customHeight="1">
      <c r="B332" s="451" t="s">
        <v>1660</v>
      </c>
      <c r="C332" s="3964" t="s">
        <v>3292</v>
      </c>
      <c r="D332" s="3964"/>
      <c r="E332" s="3964"/>
      <c r="F332" s="3964"/>
      <c r="G332" s="3964"/>
      <c r="H332" s="3964"/>
      <c r="I332" s="3964"/>
      <c r="J332" s="3964"/>
      <c r="K332" s="3964"/>
      <c r="L332" s="3964"/>
      <c r="M332" s="3964"/>
      <c r="N332" s="3964"/>
      <c r="O332" s="159" t="s">
        <v>3296</v>
      </c>
      <c r="P332" s="2664" t="s">
        <v>2769</v>
      </c>
      <c r="Q332" s="2960"/>
      <c r="AE332" s="444"/>
      <c r="AF332" s="444"/>
    </row>
    <row r="333" spans="1:33" s="403" customFormat="1" ht="34.5" customHeight="1">
      <c r="B333" s="451" t="s">
        <v>2260</v>
      </c>
      <c r="C333" s="3964" t="s">
        <v>3293</v>
      </c>
      <c r="D333" s="3964"/>
      <c r="E333" s="3964"/>
      <c r="F333" s="3964"/>
      <c r="G333" s="3964"/>
      <c r="H333" s="3964"/>
      <c r="I333" s="3964"/>
      <c r="J333" s="3964"/>
      <c r="K333" s="3964"/>
      <c r="L333" s="3964"/>
      <c r="M333" s="3964"/>
      <c r="N333" s="3964"/>
      <c r="O333" s="159" t="s">
        <v>3297</v>
      </c>
      <c r="P333" s="2665" t="s">
        <v>2769</v>
      </c>
      <c r="Q333" s="2962"/>
      <c r="AE333" s="444"/>
      <c r="AF333" s="444"/>
    </row>
    <row r="334" spans="1:33" ht="11.25" customHeight="1">
      <c r="B334" s="139" t="s">
        <v>3372</v>
      </c>
      <c r="D334" s="139"/>
      <c r="E334" s="139"/>
      <c r="F334" s="139"/>
      <c r="G334" s="139"/>
      <c r="H334" s="40"/>
      <c r="I334" s="2667"/>
      <c r="J334" s="2667"/>
      <c r="K334" s="2667"/>
      <c r="L334" s="1401"/>
      <c r="M334" s="1401"/>
      <c r="N334" s="1401"/>
      <c r="O334" s="1401"/>
      <c r="P334" s="1401"/>
      <c r="Q334" s="782"/>
    </row>
    <row r="335" spans="1:33" ht="32.25" customHeight="1">
      <c r="A335" s="3959" t="s">
        <v>6950</v>
      </c>
      <c r="B335" s="3960"/>
      <c r="C335" s="3960"/>
      <c r="D335" s="3960"/>
      <c r="E335" s="3960"/>
      <c r="F335" s="3960"/>
      <c r="G335" s="3960"/>
      <c r="H335" s="3960"/>
      <c r="I335" s="3960"/>
      <c r="J335" s="3960"/>
      <c r="K335" s="3960"/>
      <c r="L335" s="3960"/>
      <c r="M335" s="3960"/>
      <c r="N335" s="3960"/>
      <c r="O335" s="3960"/>
      <c r="P335" s="3960"/>
      <c r="Q335" s="3961"/>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1"/>
      <c r="B337" s="4002"/>
      <c r="C337" s="4002"/>
      <c r="D337" s="4002"/>
      <c r="E337" s="4002"/>
      <c r="F337" s="4002"/>
      <c r="G337" s="4002"/>
      <c r="H337" s="4002"/>
      <c r="I337" s="4002"/>
      <c r="J337" s="4002"/>
      <c r="K337" s="4002"/>
      <c r="L337" s="4002"/>
      <c r="M337" s="4002"/>
      <c r="N337" s="4002"/>
      <c r="O337" s="4002"/>
      <c r="P337" s="4002"/>
      <c r="Q337" s="4003"/>
    </row>
    <row r="338" spans="1:256 1523:1523" ht="14.1" customHeight="1">
      <c r="A338" s="2647" t="s">
        <v>3522</v>
      </c>
      <c r="B338" s="10" t="s">
        <v>2523</v>
      </c>
      <c r="C338" s="10"/>
      <c r="D338" s="10"/>
      <c r="E338" s="10"/>
      <c r="F338" s="10"/>
      <c r="G338" s="10"/>
      <c r="H338" s="2653"/>
      <c r="I338" s="2653"/>
      <c r="J338" s="2653"/>
      <c r="K338" s="2653"/>
      <c r="L338" s="2653"/>
      <c r="M338" s="2653"/>
      <c r="O338" s="130" t="s">
        <v>1781</v>
      </c>
      <c r="P338" s="4156"/>
      <c r="Q338" s="4157"/>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8" t="s">
        <v>2769</v>
      </c>
      <c r="Q340" s="2954"/>
    </row>
    <row r="341" spans="1:256 1523:1523" s="157" customFormat="1" ht="11.45" customHeight="1">
      <c r="A341" s="2511"/>
      <c r="B341" s="419" t="s">
        <v>3947</v>
      </c>
      <c r="E341" s="419"/>
      <c r="F341" s="419"/>
      <c r="G341" s="419"/>
      <c r="H341" s="419"/>
      <c r="I341" s="522"/>
      <c r="J341" s="378"/>
      <c r="K341" s="4016" t="s">
        <v>6951</v>
      </c>
      <c r="L341" s="4017"/>
      <c r="M341" s="4017"/>
      <c r="N341" s="4018"/>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4" t="s">
        <v>2673</v>
      </c>
      <c r="C343" s="3964"/>
      <c r="D343" s="3964"/>
      <c r="E343" s="3964"/>
      <c r="F343" s="3964"/>
      <c r="G343" s="3964"/>
      <c r="H343" s="3964"/>
      <c r="I343" s="3964"/>
      <c r="J343" s="3964"/>
      <c r="K343" s="3964"/>
      <c r="L343" s="3964"/>
      <c r="M343" s="3964"/>
      <c r="N343" s="3964"/>
      <c r="O343" s="159" t="s">
        <v>1893</v>
      </c>
      <c r="P343" s="2506" t="s">
        <v>2769</v>
      </c>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3" t="s">
        <v>6615</v>
      </c>
      <c r="H345" s="4014"/>
      <c r="I345" s="4014"/>
      <c r="J345" s="4014"/>
      <c r="K345" s="4014"/>
      <c r="L345" s="4014"/>
      <c r="M345" s="4014"/>
      <c r="N345" s="4015"/>
      <c r="O345" s="213" t="s">
        <v>1658</v>
      </c>
      <c r="P345" s="2502" t="s">
        <v>2769</v>
      </c>
      <c r="Q345" s="2967"/>
      <c r="BFO345" s="146" t="s">
        <v>2569</v>
      </c>
    </row>
    <row r="346" spans="1:256 1523:1523" ht="23.25" customHeight="1">
      <c r="B346" s="773" t="s">
        <v>1659</v>
      </c>
      <c r="C346" s="3964" t="s">
        <v>1091</v>
      </c>
      <c r="D346" s="3964"/>
      <c r="E346" s="3964"/>
      <c r="F346" s="3977"/>
      <c r="G346" s="3410" t="s">
        <v>3381</v>
      </c>
      <c r="H346" s="3994"/>
      <c r="I346" s="3994"/>
      <c r="J346" s="3994"/>
      <c r="K346" s="3994"/>
      <c r="L346" s="3994"/>
      <c r="M346" s="3994"/>
      <c r="N346" s="3995"/>
      <c r="O346" s="213" t="s">
        <v>1659</v>
      </c>
      <c r="P346" s="2665"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3996" t="s">
        <v>6345</v>
      </c>
      <c r="H348" s="3996"/>
      <c r="I348" s="3996"/>
      <c r="J348" s="3996"/>
      <c r="K348" s="3996"/>
      <c r="L348" s="3996"/>
      <c r="M348" s="3996"/>
      <c r="N348" s="3996"/>
      <c r="O348" s="425"/>
      <c r="P348" s="1401"/>
      <c r="Q348" s="782"/>
      <c r="AE348" s="442"/>
      <c r="AF348" s="442"/>
    </row>
    <row r="349" spans="1:256 1523:1523" s="131" customFormat="1" ht="11.25" customHeight="1">
      <c r="A349" s="142"/>
      <c r="B349" s="213" t="s">
        <v>2324</v>
      </c>
      <c r="C349" s="4134"/>
      <c r="D349" s="4135"/>
      <c r="E349" s="4135"/>
      <c r="F349" s="4135"/>
      <c r="G349" s="4135"/>
      <c r="H349" s="4135"/>
      <c r="I349" s="4135"/>
      <c r="J349" s="4135"/>
      <c r="K349" s="4135"/>
      <c r="L349" s="4135"/>
      <c r="M349" s="4135"/>
      <c r="N349" s="4136"/>
      <c r="O349" s="213" t="s">
        <v>6611</v>
      </c>
      <c r="P349" s="2502"/>
      <c r="Q349" s="2967"/>
      <c r="AE349" s="442"/>
      <c r="AF349" s="442"/>
    </row>
    <row r="350" spans="1:256 1523:1523" s="131" customFormat="1" ht="11.25" customHeight="1">
      <c r="A350" s="142"/>
      <c r="B350" s="213" t="s">
        <v>2325</v>
      </c>
      <c r="C350" s="3991"/>
      <c r="D350" s="3992"/>
      <c r="E350" s="3992"/>
      <c r="F350" s="3992"/>
      <c r="G350" s="3992"/>
      <c r="H350" s="3992"/>
      <c r="I350" s="3992"/>
      <c r="J350" s="3992"/>
      <c r="K350" s="3992"/>
      <c r="L350" s="3992"/>
      <c r="M350" s="3992"/>
      <c r="N350" s="3993"/>
      <c r="O350" s="213" t="s">
        <v>6612</v>
      </c>
      <c r="P350" s="2665"/>
      <c r="Q350" s="2962"/>
      <c r="AE350" s="442"/>
      <c r="AF350" s="442"/>
    </row>
    <row r="351" spans="1:256 1523:1523" ht="22.5" customHeight="1">
      <c r="A351" s="140" t="s">
        <v>2021</v>
      </c>
      <c r="B351" s="3951" t="s">
        <v>6346</v>
      </c>
      <c r="C351" s="3951"/>
      <c r="D351" s="3951"/>
      <c r="E351" s="3951"/>
      <c r="F351" s="3951"/>
      <c r="G351" s="3951"/>
      <c r="H351" s="3951"/>
      <c r="I351" s="3951"/>
      <c r="J351" s="3951"/>
      <c r="K351" s="3951"/>
      <c r="L351" s="3951"/>
      <c r="M351" s="3951"/>
      <c r="N351" s="3951"/>
      <c r="O351" s="159" t="s">
        <v>2021</v>
      </c>
      <c r="P351" s="2665" t="s">
        <v>6931</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7"/>
      <c r="J353" s="2667"/>
      <c r="K353" s="2667"/>
      <c r="L353" s="1401"/>
      <c r="M353" s="1401"/>
      <c r="N353" s="1401"/>
      <c r="O353" s="1401"/>
      <c r="P353" s="1401"/>
      <c r="Q353" s="782"/>
    </row>
    <row r="354" spans="1:31" ht="11.45" customHeight="1">
      <c r="A354" s="3959" t="s">
        <v>6952</v>
      </c>
      <c r="B354" s="3960"/>
      <c r="C354" s="3960"/>
      <c r="D354" s="3960"/>
      <c r="E354" s="3960"/>
      <c r="F354" s="3960"/>
      <c r="G354" s="3960"/>
      <c r="H354" s="3960"/>
      <c r="I354" s="3960"/>
      <c r="J354" s="3960"/>
      <c r="K354" s="3960"/>
      <c r="L354" s="3960"/>
      <c r="M354" s="3960"/>
      <c r="N354" s="3960"/>
      <c r="O354" s="3960"/>
      <c r="P354" s="3960"/>
      <c r="Q354" s="3961"/>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3"/>
      <c r="B356" s="3954"/>
      <c r="C356" s="3954"/>
      <c r="D356" s="3954"/>
      <c r="E356" s="3954"/>
      <c r="F356" s="3954"/>
      <c r="G356" s="3954"/>
      <c r="H356" s="3954"/>
      <c r="I356" s="3954"/>
      <c r="J356" s="3954"/>
      <c r="K356" s="3954"/>
      <c r="L356" s="3954"/>
      <c r="M356" s="3954"/>
      <c r="N356" s="3954"/>
      <c r="O356" s="3954"/>
      <c r="P356" s="3954"/>
      <c r="Q356" s="3955"/>
    </row>
    <row r="357" spans="1:31" ht="14.1" customHeight="1">
      <c r="A357" s="2647" t="s">
        <v>3523</v>
      </c>
      <c r="B357" s="177" t="s">
        <v>3541</v>
      </c>
      <c r="C357" s="2647"/>
      <c r="D357" s="2653"/>
      <c r="E357" s="2653"/>
      <c r="F357" s="2653"/>
      <c r="G357" s="2653"/>
      <c r="H357" s="2653"/>
      <c r="O357" s="130" t="s">
        <v>1781</v>
      </c>
      <c r="P357" s="3962"/>
      <c r="Q357" s="3963"/>
    </row>
    <row r="358" spans="1:31" ht="11.45" customHeight="1">
      <c r="A358" s="47" t="s">
        <v>1893</v>
      </c>
      <c r="B358" s="55" t="s">
        <v>6376</v>
      </c>
      <c r="O358" s="159" t="s">
        <v>1893</v>
      </c>
      <c r="P358" s="2492" t="s">
        <v>2769</v>
      </c>
      <c r="Q358" s="2952"/>
    </row>
    <row r="359" spans="1:31" ht="11.45" customHeight="1">
      <c r="A359" s="140" t="s">
        <v>1895</v>
      </c>
      <c r="B359" s="55" t="s">
        <v>3513</v>
      </c>
      <c r="O359" s="159" t="s">
        <v>1895</v>
      </c>
      <c r="P359" s="2669" t="s">
        <v>2769</v>
      </c>
      <c r="Q359" s="2953"/>
    </row>
    <row r="360" spans="1:31" ht="11.45" customHeight="1">
      <c r="A360" s="140" t="s">
        <v>719</v>
      </c>
      <c r="B360" s="143" t="s">
        <v>2246</v>
      </c>
      <c r="O360" s="159" t="s">
        <v>719</v>
      </c>
      <c r="P360" s="2669" t="s">
        <v>2772</v>
      </c>
      <c r="Q360" s="2953"/>
    </row>
    <row r="361" spans="1:31" ht="11.45" customHeight="1">
      <c r="A361" s="47" t="s">
        <v>2021</v>
      </c>
      <c r="B361" s="55" t="s">
        <v>3415</v>
      </c>
      <c r="O361" s="439" t="s">
        <v>2021</v>
      </c>
      <c r="P361" s="2668" t="s">
        <v>2772</v>
      </c>
      <c r="Q361" s="2954"/>
    </row>
    <row r="362" spans="1:31" ht="11.45" customHeight="1">
      <c r="A362" s="140" t="s">
        <v>1656</v>
      </c>
      <c r="B362" s="55" t="s">
        <v>2674</v>
      </c>
      <c r="N362" s="159" t="s">
        <v>1656</v>
      </c>
      <c r="O362" s="4010" t="s">
        <v>3413</v>
      </c>
      <c r="P362" s="4011"/>
      <c r="Q362" s="4012"/>
    </row>
    <row r="363" spans="1:31" ht="11.45" customHeight="1">
      <c r="A363" s="140" t="s">
        <v>1657</v>
      </c>
      <c r="B363" s="399" t="s">
        <v>2247</v>
      </c>
      <c r="N363" s="159" t="s">
        <v>1657</v>
      </c>
      <c r="O363" s="4158" t="s">
        <v>2675</v>
      </c>
      <c r="P363" s="4159"/>
      <c r="Q363" s="4160"/>
    </row>
    <row r="364" spans="1:31" ht="11.25" customHeight="1">
      <c r="B364" s="139" t="s">
        <v>3372</v>
      </c>
      <c r="D364" s="139"/>
      <c r="E364" s="139"/>
      <c r="F364" s="139"/>
      <c r="G364" s="139"/>
      <c r="H364" s="40"/>
      <c r="I364" s="2667"/>
      <c r="J364" s="2667"/>
      <c r="K364" s="2667"/>
      <c r="L364" s="1401"/>
      <c r="M364" s="1401"/>
      <c r="N364" s="1401"/>
      <c r="O364" s="1401"/>
      <c r="P364" s="1401"/>
      <c r="Q364" s="782"/>
    </row>
    <row r="365" spans="1:31" ht="25.9" customHeight="1">
      <c r="A365" s="3959" t="s">
        <v>6954</v>
      </c>
      <c r="B365" s="3960"/>
      <c r="C365" s="3960"/>
      <c r="D365" s="3960"/>
      <c r="E365" s="3960"/>
      <c r="F365" s="3960"/>
      <c r="G365" s="3960"/>
      <c r="H365" s="3960"/>
      <c r="I365" s="3960"/>
      <c r="J365" s="3960"/>
      <c r="K365" s="3960"/>
      <c r="L365" s="3960"/>
      <c r="M365" s="3960"/>
      <c r="N365" s="3960"/>
      <c r="O365" s="3960"/>
      <c r="P365" s="3960"/>
      <c r="Q365" s="3961"/>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3"/>
      <c r="B367" s="3954"/>
      <c r="C367" s="3954"/>
      <c r="D367" s="3954"/>
      <c r="E367" s="3954"/>
      <c r="F367" s="3954"/>
      <c r="G367" s="3954"/>
      <c r="H367" s="3954"/>
      <c r="I367" s="3954"/>
      <c r="J367" s="3954"/>
      <c r="K367" s="3954"/>
      <c r="L367" s="3954"/>
      <c r="M367" s="3954"/>
      <c r="N367" s="3954"/>
      <c r="O367" s="3954"/>
      <c r="P367" s="3954"/>
      <c r="Q367" s="3955"/>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3526</v>
      </c>
      <c r="B369" s="4" t="s">
        <v>6347</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6"/>
      <c r="Q369" s="3963"/>
    </row>
    <row r="370" spans="1:32" ht="21.75" customHeight="1">
      <c r="A370" s="140" t="s">
        <v>1893</v>
      </c>
      <c r="B370" s="4007" t="s">
        <v>6350</v>
      </c>
      <c r="C370" s="4007"/>
      <c r="D370" s="4007"/>
      <c r="E370" s="4007"/>
      <c r="F370" s="4007"/>
      <c r="G370" s="4007"/>
      <c r="H370" s="4007"/>
      <c r="I370" s="4007"/>
      <c r="J370" s="4007"/>
      <c r="K370" s="4007"/>
      <c r="L370" s="4007"/>
      <c r="M370" s="4007"/>
      <c r="N370" s="4007"/>
      <c r="O370" s="159" t="s">
        <v>1893</v>
      </c>
      <c r="P370" s="2507"/>
      <c r="Q370" s="2973"/>
    </row>
    <row r="371" spans="1:32" s="146" customFormat="1">
      <c r="A371" s="140"/>
      <c r="B371" s="1305"/>
      <c r="C371" s="52" t="s">
        <v>1712</v>
      </c>
      <c r="D371" s="52"/>
      <c r="E371" s="1610">
        <f>'Part VI-Revenues &amp; Expenses'!$P$67</f>
        <v>50</v>
      </c>
      <c r="F371" s="52" t="s">
        <v>4078</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4" t="s">
        <v>6348</v>
      </c>
      <c r="C372" s="3964"/>
      <c r="D372" s="3964"/>
      <c r="E372" s="3964"/>
      <c r="F372" s="3964"/>
      <c r="G372" s="3964"/>
      <c r="H372" s="3964"/>
      <c r="I372" s="3964"/>
      <c r="J372" s="3964"/>
      <c r="K372" s="3964"/>
      <c r="L372" s="3964"/>
      <c r="M372" s="3964"/>
      <c r="N372" s="3964"/>
      <c r="O372" s="159" t="s">
        <v>1895</v>
      </c>
      <c r="P372" s="2507"/>
      <c r="Q372" s="2973"/>
    </row>
    <row r="373" spans="1:32" ht="12.75" customHeight="1">
      <c r="A373" s="140"/>
      <c r="C373" s="52" t="s">
        <v>6349</v>
      </c>
      <c r="D373" s="52"/>
      <c r="E373" s="52"/>
      <c r="F373" s="52"/>
      <c r="G373" s="52"/>
      <c r="H373" s="52"/>
      <c r="I373" s="52"/>
      <c r="J373" s="52"/>
      <c r="M373" s="4008"/>
      <c r="N373" s="4009"/>
      <c r="O373" s="68"/>
      <c r="P373" s="68"/>
      <c r="Q373" s="68"/>
    </row>
    <row r="374" spans="1:32" ht="10.5" customHeight="1">
      <c r="B374" s="139" t="s">
        <v>3372</v>
      </c>
      <c r="D374" s="139"/>
      <c r="E374" s="139"/>
      <c r="F374" s="139"/>
      <c r="G374" s="139"/>
      <c r="H374" s="40"/>
      <c r="I374" s="2667"/>
      <c r="J374" s="2667"/>
      <c r="K374" s="2667"/>
      <c r="L374" s="1401"/>
      <c r="M374" s="1401"/>
      <c r="N374" s="1401"/>
      <c r="O374" s="1401"/>
      <c r="P374" s="1401"/>
      <c r="Q374" s="782"/>
    </row>
    <row r="375" spans="1:32" ht="12" customHeight="1">
      <c r="A375" s="3959" t="s">
        <v>931</v>
      </c>
      <c r="B375" s="3960"/>
      <c r="C375" s="3960"/>
      <c r="D375" s="3960"/>
      <c r="E375" s="3960"/>
      <c r="F375" s="3960"/>
      <c r="G375" s="3960"/>
      <c r="H375" s="3960"/>
      <c r="I375" s="3960"/>
      <c r="J375" s="3960"/>
      <c r="K375" s="3960"/>
      <c r="L375" s="3960"/>
      <c r="M375" s="3960"/>
      <c r="N375" s="3960"/>
      <c r="O375" s="3960"/>
      <c r="P375" s="3960"/>
      <c r="Q375" s="3961"/>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3"/>
      <c r="B377" s="3954"/>
      <c r="C377" s="3954"/>
      <c r="D377" s="3954"/>
      <c r="E377" s="3954"/>
      <c r="F377" s="3954"/>
      <c r="G377" s="3954"/>
      <c r="H377" s="3954"/>
      <c r="I377" s="3954"/>
      <c r="J377" s="3954"/>
      <c r="K377" s="3954"/>
      <c r="L377" s="3954"/>
      <c r="M377" s="3954"/>
      <c r="N377" s="3954"/>
      <c r="O377" s="3954"/>
      <c r="P377" s="3954"/>
      <c r="Q377" s="3955"/>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3527</v>
      </c>
      <c r="B379" s="4" t="s">
        <v>3505</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006"/>
      <c r="Q379" s="3963"/>
    </row>
    <row r="380" spans="1:32" ht="10.5" customHeight="1">
      <c r="A380" s="47" t="s">
        <v>1893</v>
      </c>
      <c r="B380" s="133" t="s">
        <v>3506</v>
      </c>
      <c r="D380" s="148"/>
      <c r="E380" s="148"/>
      <c r="F380" s="148"/>
      <c r="G380" s="148"/>
      <c r="H380" s="439" t="s">
        <v>1893</v>
      </c>
      <c r="I380" s="4026"/>
      <c r="J380" s="4027"/>
      <c r="K380" s="4027"/>
      <c r="L380" s="4027"/>
      <c r="M380" s="4027"/>
      <c r="N380" s="4027"/>
      <c r="O380" s="4027"/>
      <c r="P380" s="4028"/>
      <c r="Q380" s="2952"/>
    </row>
    <row r="381" spans="1:32" ht="10.5" customHeight="1">
      <c r="A381" s="140" t="s">
        <v>1895</v>
      </c>
      <c r="B381" s="133" t="s">
        <v>3507</v>
      </c>
      <c r="D381" s="148"/>
      <c r="E381" s="148"/>
      <c r="F381" s="148"/>
      <c r="G381" s="148"/>
      <c r="H381" s="159" t="s">
        <v>1895</v>
      </c>
      <c r="I381" s="3965"/>
      <c r="J381" s="3966"/>
      <c r="K381" s="3966"/>
      <c r="L381" s="3966"/>
      <c r="M381" s="3966"/>
      <c r="N381" s="3966"/>
      <c r="O381" s="3966"/>
      <c r="P381" s="3967"/>
      <c r="Q381" s="2954"/>
    </row>
    <row r="382" spans="1:32" ht="21.75" customHeight="1">
      <c r="A382" s="140" t="s">
        <v>719</v>
      </c>
      <c r="B382" s="4007" t="s">
        <v>3498</v>
      </c>
      <c r="C382" s="4007"/>
      <c r="D382" s="4007"/>
      <c r="E382" s="4007"/>
      <c r="F382" s="4007"/>
      <c r="G382" s="4007"/>
      <c r="H382" s="4007"/>
      <c r="I382" s="4007"/>
      <c r="J382" s="4007"/>
      <c r="K382" s="4007"/>
      <c r="L382" s="4007"/>
      <c r="M382" s="4007"/>
      <c r="N382" s="4007"/>
      <c r="O382" s="159" t="s">
        <v>719</v>
      </c>
      <c r="P382" s="2655"/>
      <c r="Q382" s="2967"/>
    </row>
    <row r="383" spans="1:32" ht="21.75" customHeight="1">
      <c r="A383" s="140" t="s">
        <v>2021</v>
      </c>
      <c r="B383" s="3964" t="s">
        <v>3499</v>
      </c>
      <c r="C383" s="3964"/>
      <c r="D383" s="3964"/>
      <c r="E383" s="3964"/>
      <c r="F383" s="3964"/>
      <c r="G383" s="3964"/>
      <c r="H383" s="3964"/>
      <c r="I383" s="3964"/>
      <c r="J383" s="3964"/>
      <c r="K383" s="3964"/>
      <c r="L383" s="3964"/>
      <c r="M383" s="3964"/>
      <c r="N383" s="3964"/>
      <c r="O383" s="159" t="s">
        <v>2021</v>
      </c>
      <c r="P383" s="2664"/>
      <c r="Q383" s="2960"/>
    </row>
    <row r="384" spans="1:32" ht="10.5" customHeight="1">
      <c r="A384" s="140" t="s">
        <v>1656</v>
      </c>
      <c r="B384" s="52" t="s">
        <v>3500</v>
      </c>
      <c r="D384" s="52"/>
      <c r="E384" s="52"/>
      <c r="F384" s="52"/>
      <c r="G384" s="52"/>
      <c r="H384" s="52"/>
      <c r="I384" s="52"/>
      <c r="J384" s="52"/>
      <c r="K384" s="52"/>
      <c r="L384" s="52"/>
      <c r="M384" s="52"/>
      <c r="O384" s="159" t="s">
        <v>1656</v>
      </c>
      <c r="P384" s="2669"/>
      <c r="Q384" s="2953"/>
    </row>
    <row r="385" spans="1:32" s="131" customFormat="1" ht="21.75" customHeight="1">
      <c r="A385" s="140" t="s">
        <v>1657</v>
      </c>
      <c r="B385" s="3964" t="s">
        <v>3501</v>
      </c>
      <c r="C385" s="3964"/>
      <c r="D385" s="3964"/>
      <c r="E385" s="3964"/>
      <c r="F385" s="3964"/>
      <c r="G385" s="3964"/>
      <c r="H385" s="3964"/>
      <c r="I385" s="3964"/>
      <c r="J385" s="3964"/>
      <c r="K385" s="3964"/>
      <c r="L385" s="3964"/>
      <c r="M385" s="3964"/>
      <c r="N385" s="3964"/>
      <c r="O385" s="159" t="s">
        <v>1657</v>
      </c>
      <c r="P385" s="2654"/>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4051</v>
      </c>
      <c r="E387" s="2653"/>
      <c r="F387" s="2653"/>
      <c r="G387" s="2653"/>
      <c r="H387" s="2653"/>
      <c r="I387" s="2653"/>
      <c r="J387" s="2653"/>
      <c r="K387" s="2653"/>
      <c r="L387" s="2653"/>
      <c r="M387" s="2653"/>
      <c r="N387" s="2653"/>
      <c r="P387" s="2665"/>
      <c r="Q387" s="2962"/>
      <c r="AE387" s="442"/>
      <c r="AF387" s="442"/>
    </row>
    <row r="388" spans="1:32" ht="21.75" customHeight="1">
      <c r="A388" s="140" t="s">
        <v>3124</v>
      </c>
      <c r="B388" s="3964" t="s">
        <v>3503</v>
      </c>
      <c r="C388" s="3964"/>
      <c r="D388" s="3964"/>
      <c r="E388" s="3964"/>
      <c r="F388" s="3964"/>
      <c r="G388" s="3964"/>
      <c r="H388" s="3964"/>
      <c r="I388" s="3964"/>
      <c r="J388" s="3964"/>
      <c r="K388" s="3964"/>
      <c r="L388" s="3964"/>
      <c r="M388" s="3964"/>
      <c r="N388" s="3964"/>
      <c r="O388" s="159" t="s">
        <v>3124</v>
      </c>
      <c r="P388" s="2502"/>
      <c r="Q388" s="2967"/>
    </row>
    <row r="389" spans="1:32" ht="33" customHeight="1">
      <c r="A389" s="140" t="s">
        <v>586</v>
      </c>
      <c r="B389" s="3964" t="s">
        <v>3504</v>
      </c>
      <c r="C389" s="3964"/>
      <c r="D389" s="3964"/>
      <c r="E389" s="3964"/>
      <c r="F389" s="3964"/>
      <c r="G389" s="3964"/>
      <c r="H389" s="3964"/>
      <c r="I389" s="3964"/>
      <c r="J389" s="3964"/>
      <c r="K389" s="3964"/>
      <c r="L389" s="3964"/>
      <c r="M389" s="3964"/>
      <c r="N389" s="3964"/>
      <c r="O389" s="159" t="s">
        <v>586</v>
      </c>
      <c r="P389" s="2665"/>
      <c r="Q389" s="2962"/>
    </row>
    <row r="390" spans="1:32" ht="10.5" customHeight="1">
      <c r="B390" s="139" t="s">
        <v>3372</v>
      </c>
      <c r="D390" s="139"/>
      <c r="E390" s="139"/>
      <c r="F390" s="139"/>
      <c r="G390" s="139"/>
      <c r="H390" s="40"/>
      <c r="I390" s="2667"/>
      <c r="J390" s="2667"/>
      <c r="K390" s="2667"/>
      <c r="L390" s="1401"/>
      <c r="M390" s="1401"/>
      <c r="N390" s="1401"/>
      <c r="O390" s="1401"/>
      <c r="P390" s="1401"/>
      <c r="Q390" s="782"/>
    </row>
    <row r="391" spans="1:32" ht="31.5" customHeight="1">
      <c r="A391" s="3959" t="s">
        <v>931</v>
      </c>
      <c r="B391" s="3960"/>
      <c r="C391" s="3960"/>
      <c r="D391" s="3960"/>
      <c r="E391" s="3960"/>
      <c r="F391" s="3960"/>
      <c r="G391" s="3960"/>
      <c r="H391" s="3960"/>
      <c r="I391" s="3960"/>
      <c r="J391" s="3960"/>
      <c r="K391" s="3960"/>
      <c r="L391" s="3960"/>
      <c r="M391" s="3960"/>
      <c r="N391" s="3960"/>
      <c r="O391" s="3960"/>
      <c r="P391" s="3960"/>
      <c r="Q391" s="3961"/>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3"/>
      <c r="B393" s="3954"/>
      <c r="C393" s="3954"/>
      <c r="D393" s="3954"/>
      <c r="E393" s="3954"/>
      <c r="F393" s="3954"/>
      <c r="G393" s="3954"/>
      <c r="H393" s="3954"/>
      <c r="I393" s="3954"/>
      <c r="J393" s="3954"/>
      <c r="K393" s="3954"/>
      <c r="L393" s="3954"/>
      <c r="M393" s="3954"/>
      <c r="N393" s="3954"/>
      <c r="O393" s="3954"/>
      <c r="P393" s="3954"/>
      <c r="Q393" s="3955"/>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3528</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2"/>
      <c r="Q396" s="3963"/>
      <c r="AF396" s="35"/>
    </row>
    <row r="397" spans="1:32" ht="11.45" customHeight="1">
      <c r="A397" s="47" t="s">
        <v>1893</v>
      </c>
      <c r="B397" s="116" t="s">
        <v>995</v>
      </c>
      <c r="E397" s="4036"/>
      <c r="F397" s="4037"/>
      <c r="G397" s="4037"/>
      <c r="H397" s="4037"/>
      <c r="I397" s="4038"/>
      <c r="J397" s="4039" t="s">
        <v>2526</v>
      </c>
      <c r="K397" s="4040"/>
      <c r="L397" s="4041"/>
      <c r="M397" s="4036"/>
      <c r="N397" s="4037"/>
      <c r="O397" s="4037"/>
      <c r="P397" s="4037"/>
      <c r="Q397" s="4038"/>
      <c r="AF397" s="35"/>
    </row>
    <row r="398" spans="1:32" s="131" customFormat="1" ht="22.5" customHeight="1">
      <c r="A398" s="140" t="s">
        <v>1895</v>
      </c>
      <c r="B398" s="3964" t="s">
        <v>3202</v>
      </c>
      <c r="C398" s="3964"/>
      <c r="D398" s="3964"/>
      <c r="E398" s="3964"/>
      <c r="F398" s="3964"/>
      <c r="G398" s="3964"/>
      <c r="H398" s="3964"/>
      <c r="I398" s="3964"/>
      <c r="J398" s="3964"/>
      <c r="K398" s="3964"/>
      <c r="L398" s="3964"/>
      <c r="M398" s="3964"/>
      <c r="N398" s="3964"/>
      <c r="O398" s="159" t="s">
        <v>1895</v>
      </c>
      <c r="P398" s="2664"/>
      <c r="Q398" s="2960"/>
      <c r="AE398" s="442"/>
    </row>
    <row r="399" spans="1:32">
      <c r="A399" s="140" t="s">
        <v>719</v>
      </c>
      <c r="B399" s="55" t="s">
        <v>3331</v>
      </c>
      <c r="G399" s="2657"/>
      <c r="H399" s="2657"/>
      <c r="I399" s="2657"/>
      <c r="J399" s="783" t="s">
        <v>3332</v>
      </c>
      <c r="L399" s="2657"/>
      <c r="M399" s="4004">
        <f>'Part III-Sources of Funds'!I6</f>
        <v>0</v>
      </c>
      <c r="N399" s="4005"/>
      <c r="O399" s="159" t="s">
        <v>719</v>
      </c>
      <c r="P399" s="2668"/>
      <c r="Q399" s="2954"/>
      <c r="AF399" s="35"/>
    </row>
    <row r="400" spans="1:32" ht="11.25" customHeight="1">
      <c r="B400" s="139" t="s">
        <v>3372</v>
      </c>
      <c r="D400" s="139"/>
      <c r="E400" s="139"/>
      <c r="F400" s="139"/>
      <c r="G400" s="139"/>
      <c r="H400" s="40"/>
      <c r="I400" s="2667"/>
      <c r="J400" s="2667"/>
      <c r="K400" s="2667"/>
      <c r="L400" s="1401"/>
      <c r="M400" s="1401"/>
      <c r="N400" s="1401"/>
      <c r="O400" s="1401"/>
      <c r="P400" s="1401"/>
      <c r="Q400" s="782"/>
      <c r="AF400" s="35"/>
    </row>
    <row r="401" spans="1:32" ht="11.45" customHeight="1">
      <c r="A401" s="3959" t="s">
        <v>931</v>
      </c>
      <c r="B401" s="3960"/>
      <c r="C401" s="3960"/>
      <c r="D401" s="3960"/>
      <c r="E401" s="3960"/>
      <c r="F401" s="3960"/>
      <c r="G401" s="3960"/>
      <c r="H401" s="3960"/>
      <c r="I401" s="3960"/>
      <c r="J401" s="3960"/>
      <c r="K401" s="3960"/>
      <c r="L401" s="3960"/>
      <c r="M401" s="3960"/>
      <c r="N401" s="3960"/>
      <c r="O401" s="3960"/>
      <c r="P401" s="3960"/>
      <c r="Q401" s="3961"/>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3"/>
      <c r="B403" s="3954"/>
      <c r="C403" s="3954"/>
      <c r="D403" s="3954"/>
      <c r="E403" s="3954"/>
      <c r="F403" s="3954"/>
      <c r="G403" s="3954"/>
      <c r="H403" s="3954"/>
      <c r="I403" s="3954"/>
      <c r="J403" s="3954"/>
      <c r="K403" s="3954"/>
      <c r="L403" s="3954"/>
      <c r="M403" s="3954"/>
      <c r="N403" s="3954"/>
      <c r="O403" s="3954"/>
      <c r="P403" s="3954"/>
      <c r="Q403" s="3955"/>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3529</v>
      </c>
      <c r="B405" s="4" t="s">
        <v>2524</v>
      </c>
      <c r="C405" s="4"/>
      <c r="D405" s="4"/>
      <c r="E405" s="2653"/>
      <c r="G405" s="138" t="s">
        <v>671</v>
      </c>
      <c r="H405" s="2653"/>
      <c r="I405" s="2653"/>
      <c r="J405" s="2653"/>
      <c r="K405" s="2653"/>
      <c r="L405" s="2653"/>
      <c r="M405" s="2653"/>
      <c r="O405" s="130" t="s">
        <v>1781</v>
      </c>
      <c r="P405" s="3962"/>
      <c r="Q405" s="4025"/>
      <c r="AF405" s="35"/>
    </row>
    <row r="406" spans="1:32" ht="12" customHeight="1">
      <c r="A406" s="47" t="s">
        <v>1893</v>
      </c>
      <c r="B406" s="52" t="s">
        <v>2527</v>
      </c>
      <c r="D406" s="784"/>
      <c r="E406" s="784"/>
      <c r="O406" s="439" t="s">
        <v>1893</v>
      </c>
      <c r="P406" s="2492"/>
      <c r="Q406" s="2952"/>
      <c r="AF406" s="35"/>
    </row>
    <row r="407" spans="1:32" ht="12" customHeight="1">
      <c r="A407" s="47" t="s">
        <v>1895</v>
      </c>
      <c r="B407" s="52" t="s">
        <v>3264</v>
      </c>
      <c r="D407" s="784"/>
      <c r="E407" s="784"/>
      <c r="O407" s="439" t="s">
        <v>1895</v>
      </c>
      <c r="P407" s="2669"/>
      <c r="Q407" s="2953"/>
      <c r="AF407" s="35"/>
    </row>
    <row r="408" spans="1:32" ht="12" customHeight="1">
      <c r="A408" s="47" t="s">
        <v>719</v>
      </c>
      <c r="B408" s="52" t="s">
        <v>4233</v>
      </c>
      <c r="D408" s="784"/>
      <c r="E408" s="784"/>
      <c r="O408" s="439" t="s">
        <v>719</v>
      </c>
      <c r="P408" s="2669"/>
      <c r="Q408" s="2953"/>
      <c r="AF408" s="35"/>
    </row>
    <row r="409" spans="1:32" ht="12" customHeight="1">
      <c r="A409" s="47" t="s">
        <v>2021</v>
      </c>
      <c r="B409" s="52" t="s">
        <v>3265</v>
      </c>
      <c r="E409" s="138"/>
      <c r="O409" s="439" t="s">
        <v>2021</v>
      </c>
      <c r="P409" s="2669"/>
      <c r="Q409" s="2953"/>
      <c r="AF409" s="35"/>
    </row>
    <row r="410" spans="1:32" ht="12" customHeight="1">
      <c r="A410" s="47" t="s">
        <v>1656</v>
      </c>
      <c r="B410" s="52" t="s">
        <v>1987</v>
      </c>
      <c r="E410" s="138"/>
      <c r="G410" s="439" t="s">
        <v>1656</v>
      </c>
      <c r="H410" s="3978"/>
      <c r="I410" s="3979"/>
      <c r="J410" s="3979"/>
      <c r="K410" s="3979"/>
      <c r="L410" s="3979"/>
      <c r="M410" s="3979"/>
      <c r="N410" s="3979"/>
      <c r="O410" s="3980"/>
      <c r="P410" s="2668"/>
      <c r="Q410" s="2954"/>
      <c r="AF410" s="35"/>
    </row>
    <row r="411" spans="1:32" ht="11.25" customHeight="1">
      <c r="B411" s="139" t="s">
        <v>3372</v>
      </c>
      <c r="D411" s="139"/>
      <c r="E411" s="139"/>
      <c r="F411" s="139"/>
      <c r="G411" s="139"/>
      <c r="H411" s="40"/>
      <c r="I411" s="2667"/>
      <c r="J411" s="2667"/>
      <c r="K411" s="2667"/>
      <c r="L411" s="1401"/>
      <c r="M411" s="1401"/>
      <c r="N411" s="1401"/>
      <c r="O411" s="1401"/>
      <c r="P411" s="1401"/>
      <c r="Q411" s="782"/>
      <c r="AF411" s="35"/>
    </row>
    <row r="412" spans="1:32" ht="11.45" customHeight="1">
      <c r="A412" s="3959" t="s">
        <v>931</v>
      </c>
      <c r="B412" s="3960"/>
      <c r="C412" s="3960"/>
      <c r="D412" s="3960"/>
      <c r="E412" s="3960"/>
      <c r="F412" s="3960"/>
      <c r="G412" s="3960"/>
      <c r="H412" s="3960"/>
      <c r="I412" s="3960"/>
      <c r="J412" s="3960"/>
      <c r="K412" s="3960"/>
      <c r="L412" s="3960"/>
      <c r="M412" s="3960"/>
      <c r="N412" s="3960"/>
      <c r="O412" s="3960"/>
      <c r="P412" s="3960"/>
      <c r="Q412" s="3961"/>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3"/>
      <c r="B414" s="3954"/>
      <c r="C414" s="3954"/>
      <c r="D414" s="3954"/>
      <c r="E414" s="3954"/>
      <c r="F414" s="3954"/>
      <c r="G414" s="3954"/>
      <c r="H414" s="3954"/>
      <c r="I414" s="3954"/>
      <c r="J414" s="3954"/>
      <c r="K414" s="3954"/>
      <c r="L414" s="3954"/>
      <c r="M414" s="3954"/>
      <c r="N414" s="3954"/>
      <c r="O414" s="3954"/>
      <c r="P414" s="3954"/>
      <c r="Q414" s="3955"/>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3530</v>
      </c>
      <c r="B416" s="4" t="s">
        <v>4135</v>
      </c>
      <c r="C416" s="4"/>
      <c r="D416" s="4"/>
      <c r="E416" s="4"/>
      <c r="F416" s="4"/>
      <c r="G416" s="4"/>
      <c r="H416" s="2653"/>
      <c r="I416" s="2653"/>
      <c r="J416" s="2653"/>
      <c r="K416" s="2653"/>
      <c r="L416" s="2653"/>
      <c r="M416" s="2653"/>
      <c r="O416" s="130" t="s">
        <v>1781</v>
      </c>
      <c r="P416" s="3984"/>
      <c r="Q416" s="3985"/>
      <c r="AF416" s="35"/>
    </row>
    <row r="417" spans="1:33" ht="12" customHeight="1">
      <c r="B417" s="55" t="s">
        <v>6546</v>
      </c>
      <c r="O417" s="65"/>
      <c r="P417" s="2493"/>
      <c r="Q417" s="2955"/>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5"/>
      <c r="AF419" s="35"/>
    </row>
    <row r="420" spans="1:33" ht="12" customHeight="1">
      <c r="B420" s="52"/>
      <c r="C420" s="36" t="s">
        <v>4234</v>
      </c>
      <c r="D420" s="55" t="s">
        <v>4235</v>
      </c>
      <c r="E420" s="42"/>
      <c r="F420" s="42"/>
      <c r="G420" s="42"/>
      <c r="H420" s="42"/>
      <c r="I420" s="42"/>
      <c r="J420" s="42"/>
      <c r="K420" s="42"/>
      <c r="L420" s="42"/>
      <c r="M420" s="42"/>
      <c r="N420" s="42"/>
      <c r="O420" s="439" t="s">
        <v>4234</v>
      </c>
      <c r="P420" s="4163"/>
      <c r="Q420" s="4161"/>
      <c r="AF420" s="35"/>
    </row>
    <row r="421" spans="1:33" ht="12" customHeight="1">
      <c r="A421" s="47"/>
      <c r="D421" s="52" t="s">
        <v>6837</v>
      </c>
      <c r="E421" s="52"/>
      <c r="F421" s="52"/>
      <c r="G421" s="52"/>
      <c r="H421" s="52"/>
      <c r="I421" s="52"/>
      <c r="J421" s="52"/>
      <c r="K421" s="52"/>
      <c r="L421" s="52"/>
      <c r="M421" s="52"/>
      <c r="N421" s="42"/>
      <c r="O421" s="1487"/>
      <c r="P421" s="4164"/>
      <c r="Q421" s="4162"/>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4138</v>
      </c>
      <c r="D423" s="52" t="s">
        <v>3261</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64" t="s">
        <v>6400</v>
      </c>
      <c r="D425" s="3964"/>
      <c r="E425" s="3964"/>
      <c r="F425" s="3964"/>
      <c r="G425" s="133" t="s">
        <v>4139</v>
      </c>
      <c r="J425" s="2515"/>
      <c r="K425" s="2976"/>
      <c r="M425" s="133" t="s">
        <v>6492</v>
      </c>
      <c r="P425" s="2516"/>
      <c r="Q425" s="2977"/>
    </row>
    <row r="426" spans="1:33" ht="12" customHeight="1">
      <c r="A426" s="47"/>
      <c r="C426" s="3964"/>
      <c r="D426" s="3964"/>
      <c r="E426" s="3964"/>
      <c r="F426" s="3964"/>
      <c r="G426" s="133" t="s">
        <v>6491</v>
      </c>
      <c r="J426" s="2517"/>
      <c r="K426" s="2978"/>
      <c r="M426" s="133" t="s">
        <v>6493</v>
      </c>
      <c r="P426" s="2517"/>
      <c r="Q426" s="2978"/>
    </row>
    <row r="427" spans="1:33" ht="8.25" customHeight="1">
      <c r="A427" s="47"/>
      <c r="C427" s="3964"/>
      <c r="D427" s="3964"/>
      <c r="E427" s="3964"/>
      <c r="F427" s="3964"/>
      <c r="J427" s="1603"/>
      <c r="L427" s="783"/>
      <c r="M427" s="42"/>
      <c r="N427" s="439"/>
    </row>
    <row r="428" spans="1:33" s="93" customFormat="1" ht="12.75" customHeight="1">
      <c r="A428" s="137"/>
      <c r="B428" s="177"/>
      <c r="D428" s="970"/>
      <c r="E428" s="970"/>
      <c r="F428" s="970"/>
      <c r="G428" s="970"/>
      <c r="H428" s="970"/>
      <c r="I428" s="3952" t="s">
        <v>6434</v>
      </c>
      <c r="J428" s="3952" t="s">
        <v>6435</v>
      </c>
      <c r="K428" s="3952" t="s">
        <v>6437</v>
      </c>
      <c r="L428" s="3952"/>
      <c r="M428" s="3952"/>
      <c r="N428" s="3968" t="s">
        <v>6436</v>
      </c>
      <c r="O428" s="439"/>
      <c r="P428" s="439"/>
      <c r="Q428" s="439"/>
      <c r="AE428" s="445"/>
    </row>
    <row r="429" spans="1:33" s="93" customFormat="1" ht="12.75" customHeight="1">
      <c r="A429" s="137"/>
      <c r="B429" s="177"/>
      <c r="D429" s="970"/>
      <c r="E429" s="970"/>
      <c r="F429" s="970"/>
      <c r="G429" s="970"/>
      <c r="H429" s="970"/>
      <c r="I429" s="4153"/>
      <c r="J429" s="3952"/>
      <c r="K429" s="3952"/>
      <c r="L429" s="3952"/>
      <c r="M429" s="3952"/>
      <c r="N429" s="3969"/>
      <c r="O429" s="439"/>
      <c r="P429" s="439"/>
      <c r="Q429" s="439"/>
      <c r="AE429" s="445"/>
    </row>
    <row r="430" spans="1:33" s="93" customFormat="1" ht="12.75" customHeight="1">
      <c r="A430" s="173"/>
      <c r="B430" s="1305"/>
      <c r="C430" s="3964" t="s">
        <v>6599</v>
      </c>
      <c r="D430" s="3964"/>
      <c r="E430" s="3964"/>
      <c r="F430" s="3964"/>
      <c r="G430" s="3964"/>
      <c r="H430" s="3964"/>
      <c r="I430" s="1582">
        <f>$K$321</f>
        <v>3</v>
      </c>
      <c r="J430" s="2518"/>
      <c r="K430" s="3970"/>
      <c r="L430" s="3970"/>
      <c r="M430" s="3971"/>
      <c r="N430" s="1664">
        <f>MAX(J430,K430)</f>
        <v>0</v>
      </c>
      <c r="O430" s="64" t="s">
        <v>2328</v>
      </c>
      <c r="P430" s="2493"/>
      <c r="Q430" s="2955"/>
      <c r="AE430" s="445"/>
      <c r="AF430" s="445"/>
    </row>
    <row r="431" spans="1:33" s="289" customFormat="1" ht="12.75" customHeight="1">
      <c r="A431" s="300"/>
      <c r="B431" s="2618"/>
      <c r="C431" s="3964"/>
      <c r="D431" s="3964"/>
      <c r="E431" s="3964"/>
      <c r="F431" s="3964"/>
      <c r="G431" s="3964"/>
      <c r="H431" s="3964"/>
      <c r="I431" s="2629"/>
      <c r="J431" s="2979"/>
      <c r="K431" s="3972"/>
      <c r="L431" s="3972"/>
      <c r="M431" s="3973"/>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c r="K433" s="3970"/>
      <c r="L433" s="3970"/>
      <c r="M433" s="3971"/>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2"/>
      <c r="L434" s="3972"/>
      <c r="M434" s="397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4" t="s">
        <v>6600</v>
      </c>
      <c r="D436" s="3964"/>
      <c r="E436" s="3964"/>
      <c r="F436" s="3964"/>
      <c r="G436" s="3964"/>
      <c r="H436" s="3964"/>
      <c r="I436" s="1582">
        <f>$K$324</f>
        <v>1</v>
      </c>
      <c r="J436" s="2518"/>
      <c r="K436" s="3970"/>
      <c r="L436" s="3970"/>
      <c r="M436" s="3971"/>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4"/>
      <c r="D437" s="3964"/>
      <c r="E437" s="3964"/>
      <c r="F437" s="3964"/>
      <c r="G437" s="3964"/>
      <c r="H437" s="3964"/>
      <c r="J437" s="2979"/>
      <c r="K437" s="3972"/>
      <c r="L437" s="3972"/>
      <c r="M437" s="3973"/>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5" t="s">
        <v>1691</v>
      </c>
    </row>
    <row r="441" spans="1:33" ht="12" customHeight="1">
      <c r="A441" s="42"/>
      <c r="B441" s="146"/>
      <c r="D441" s="3990" t="s">
        <v>6496</v>
      </c>
      <c r="E441" s="1274" t="s">
        <v>2347</v>
      </c>
      <c r="F441" s="418" t="s">
        <v>3425</v>
      </c>
      <c r="G441" s="3986"/>
      <c r="H441" s="3987"/>
      <c r="I441" s="3987"/>
      <c r="J441" s="3987"/>
      <c r="K441" s="3988"/>
      <c r="L441" s="1274"/>
    </row>
    <row r="442" spans="1:33" ht="12" customHeight="1">
      <c r="B442" s="146"/>
      <c r="D442" s="3990"/>
      <c r="E442" s="1274" t="s">
        <v>4136</v>
      </c>
      <c r="F442" s="418" t="s">
        <v>4137</v>
      </c>
      <c r="G442" s="4033" t="s">
        <v>3334</v>
      </c>
      <c r="H442" s="4034"/>
      <c r="I442" s="4035"/>
      <c r="J442" s="418" t="s">
        <v>3965</v>
      </c>
      <c r="K442" s="146"/>
      <c r="M442" s="3986"/>
      <c r="N442" s="3987"/>
      <c r="O442" s="3987"/>
      <c r="P442" s="3987"/>
      <c r="Q442" s="3988"/>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3981"/>
      <c r="C444" s="3982"/>
      <c r="D444" s="3982"/>
      <c r="E444" s="3982"/>
      <c r="F444" s="3982"/>
      <c r="G444" s="3982"/>
      <c r="H444" s="3982"/>
      <c r="I444" s="3982"/>
      <c r="J444" s="3982"/>
      <c r="K444" s="3982"/>
      <c r="L444" s="3982"/>
      <c r="M444" s="3982"/>
      <c r="N444" s="3982"/>
      <c r="O444" s="3982"/>
      <c r="P444" s="3982"/>
      <c r="Q444" s="3983"/>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9" t="s">
        <v>4236</v>
      </c>
      <c r="C446" s="3964"/>
      <c r="D446" s="3964"/>
      <c r="E446" s="3964"/>
      <c r="F446" s="3964"/>
      <c r="G446" s="3964"/>
      <c r="H446" s="3964"/>
      <c r="I446" s="3964"/>
      <c r="J446" s="3964"/>
      <c r="K446" s="3964"/>
      <c r="L446" s="3964"/>
      <c r="M446" s="3964"/>
      <c r="N446" s="3964"/>
      <c r="T446" s="443"/>
      <c r="AE446" s="443"/>
      <c r="AF446" s="443"/>
    </row>
    <row r="447" spans="1:33" s="146" customFormat="1" ht="12" customHeight="1">
      <c r="A447" s="140"/>
      <c r="B447" s="773" t="s">
        <v>4140</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4" t="s">
        <v>4141</v>
      </c>
      <c r="C448" s="3964"/>
      <c r="D448" s="3964"/>
      <c r="E448" s="3964"/>
      <c r="F448" s="3964"/>
      <c r="G448" s="3964"/>
      <c r="H448" s="3964"/>
      <c r="I448" s="3964"/>
      <c r="J448" s="3964"/>
      <c r="K448" s="3964"/>
      <c r="L448" s="3964"/>
      <c r="M448" s="3964"/>
      <c r="N448" s="3964"/>
      <c r="O448" s="159" t="s">
        <v>1895</v>
      </c>
      <c r="P448" s="2507"/>
      <c r="Q448" s="2973"/>
      <c r="T448" s="443"/>
      <c r="AE448" s="443"/>
      <c r="AF448" s="443"/>
    </row>
    <row r="449" spans="1:32" ht="12" customHeight="1">
      <c r="B449" s="139" t="s">
        <v>3372</v>
      </c>
      <c r="D449" s="139"/>
      <c r="E449" s="139"/>
      <c r="F449" s="139"/>
      <c r="G449" s="139"/>
      <c r="H449" s="40"/>
      <c r="I449" s="2667"/>
      <c r="J449" s="2667"/>
      <c r="K449" s="2667"/>
    </row>
    <row r="450" spans="1:32" ht="33.6" customHeight="1">
      <c r="A450" s="3959" t="s">
        <v>6955</v>
      </c>
      <c r="B450" s="3960"/>
      <c r="C450" s="3960"/>
      <c r="D450" s="3960"/>
      <c r="E450" s="3960"/>
      <c r="F450" s="3960"/>
      <c r="G450" s="3960"/>
      <c r="H450" s="3960"/>
      <c r="I450" s="3960"/>
      <c r="J450" s="3960"/>
      <c r="K450" s="3960"/>
      <c r="L450" s="3960"/>
      <c r="M450" s="3960"/>
      <c r="N450" s="3960"/>
      <c r="O450" s="3960"/>
      <c r="P450" s="3960"/>
      <c r="Q450" s="3961"/>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3"/>
      <c r="B452" s="3954"/>
      <c r="C452" s="3954"/>
      <c r="D452" s="3954"/>
      <c r="E452" s="3954"/>
      <c r="F452" s="3954"/>
      <c r="G452" s="3954"/>
      <c r="H452" s="3954"/>
      <c r="I452" s="3954"/>
      <c r="J452" s="3954"/>
      <c r="K452" s="3954"/>
      <c r="L452" s="3954"/>
      <c r="M452" s="3954"/>
      <c r="N452" s="3954"/>
      <c r="O452" s="3954"/>
      <c r="P452" s="3954"/>
      <c r="Q452" s="3955"/>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3531</v>
      </c>
      <c r="B454" s="4" t="s">
        <v>2619</v>
      </c>
      <c r="C454" s="4"/>
      <c r="D454" s="86"/>
      <c r="E454" s="2653"/>
      <c r="F454" s="2653"/>
      <c r="G454" s="2653"/>
      <c r="H454" s="2653"/>
      <c r="O454" s="130" t="s">
        <v>1781</v>
      </c>
      <c r="P454" s="3962"/>
      <c r="Q454" s="3963"/>
    </row>
    <row r="455" spans="1:32" ht="14.1" customHeight="1">
      <c r="B455" s="86" t="s">
        <v>4081</v>
      </c>
      <c r="C455" s="4"/>
      <c r="D455" s="86"/>
      <c r="E455" s="2653"/>
      <c r="F455" s="2653"/>
      <c r="G455" s="2653"/>
      <c r="H455" s="2653"/>
    </row>
    <row r="456" spans="1:32" s="131" customFormat="1" ht="21.75" customHeight="1">
      <c r="A456" s="140" t="s">
        <v>1893</v>
      </c>
      <c r="B456" s="3951" t="s">
        <v>3455</v>
      </c>
      <c r="C456" s="3951"/>
      <c r="D456" s="3951"/>
      <c r="E456" s="3951"/>
      <c r="F456" s="3951"/>
      <c r="G456" s="3951"/>
      <c r="H456" s="3951"/>
      <c r="I456" s="3951"/>
      <c r="J456" s="3951"/>
      <c r="K456" s="3951"/>
      <c r="L456" s="3951"/>
      <c r="M456" s="3951"/>
      <c r="N456" s="3951"/>
      <c r="O456" s="159" t="s">
        <v>1893</v>
      </c>
      <c r="P456" s="2502" t="s">
        <v>6931</v>
      </c>
      <c r="Q456" s="2967"/>
      <c r="AE456" s="442"/>
      <c r="AF456" s="442"/>
    </row>
    <row r="457" spans="1:32" s="131" customFormat="1" ht="22.5" customHeight="1">
      <c r="A457" s="140" t="s">
        <v>1895</v>
      </c>
      <c r="B457" s="3951" t="s">
        <v>3454</v>
      </c>
      <c r="C457" s="3951"/>
      <c r="D457" s="3951"/>
      <c r="E457" s="3951"/>
      <c r="F457" s="3951"/>
      <c r="G457" s="3951"/>
      <c r="H457" s="3951"/>
      <c r="I457" s="3951"/>
      <c r="J457" s="3951"/>
      <c r="K457" s="3951"/>
      <c r="L457" s="3951"/>
      <c r="M457" s="3951"/>
      <c r="N457" s="3951"/>
      <c r="O457" s="159" t="s">
        <v>1895</v>
      </c>
      <c r="P457" s="2664" t="s">
        <v>6931</v>
      </c>
      <c r="Q457" s="2960"/>
      <c r="AE457" s="442"/>
      <c r="AF457" s="442"/>
    </row>
    <row r="458" spans="1:32" s="131" customFormat="1" ht="22.5" customHeight="1">
      <c r="B458" s="1305" t="s">
        <v>1658</v>
      </c>
      <c r="C458" s="3951" t="s">
        <v>4047</v>
      </c>
      <c r="D458" s="3951"/>
      <c r="E458" s="3951"/>
      <c r="F458" s="3951"/>
      <c r="G458" s="3951"/>
      <c r="H458" s="3951"/>
      <c r="I458" s="3951"/>
      <c r="J458" s="3951"/>
      <c r="K458" s="3951"/>
      <c r="L458" s="3951"/>
      <c r="M458" s="3951"/>
      <c r="N458" s="3951"/>
      <c r="O458" s="159" t="s">
        <v>1658</v>
      </c>
      <c r="P458" s="2664" t="s">
        <v>6931</v>
      </c>
      <c r="Q458" s="2960"/>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9" t="s">
        <v>6931</v>
      </c>
      <c r="Q459" s="2953"/>
      <c r="AE459" s="50"/>
      <c r="AF459" s="50"/>
    </row>
    <row r="460" spans="1:32" s="131" customFormat="1" ht="33" customHeight="1">
      <c r="B460" s="451" t="s">
        <v>1660</v>
      </c>
      <c r="C460" s="3951" t="s">
        <v>4049</v>
      </c>
      <c r="D460" s="3951"/>
      <c r="E460" s="3951"/>
      <c r="F460" s="3951"/>
      <c r="G460" s="3951"/>
      <c r="H460" s="3951"/>
      <c r="I460" s="3951"/>
      <c r="J460" s="3951"/>
      <c r="K460" s="3951"/>
      <c r="L460" s="3951"/>
      <c r="M460" s="3951"/>
      <c r="N460" s="3951"/>
      <c r="O460" s="159" t="s">
        <v>1660</v>
      </c>
      <c r="P460" s="2664" t="s">
        <v>6931</v>
      </c>
      <c r="Q460" s="2960"/>
      <c r="AE460" s="442"/>
      <c r="AF460" s="442"/>
    </row>
    <row r="461" spans="1:32" s="131" customFormat="1" ht="22.5" customHeight="1">
      <c r="B461" s="451" t="s">
        <v>2260</v>
      </c>
      <c r="C461" s="3951" t="s">
        <v>4050</v>
      </c>
      <c r="D461" s="3951"/>
      <c r="E461" s="3951"/>
      <c r="F461" s="3951"/>
      <c r="G461" s="3951"/>
      <c r="H461" s="3951"/>
      <c r="I461" s="3951"/>
      <c r="J461" s="3951"/>
      <c r="K461" s="3951"/>
      <c r="L461" s="3951"/>
      <c r="M461" s="3951"/>
      <c r="N461" s="3951"/>
      <c r="O461" s="159" t="s">
        <v>2260</v>
      </c>
      <c r="P461" s="2664" t="s">
        <v>6931</v>
      </c>
      <c r="Q461" s="2960"/>
      <c r="AE461" s="442"/>
      <c r="AF461" s="442"/>
    </row>
    <row r="462" spans="1:32" s="131" customFormat="1" ht="22.5" customHeight="1">
      <c r="A462" s="140" t="s">
        <v>719</v>
      </c>
      <c r="B462" s="3951" t="s">
        <v>3456</v>
      </c>
      <c r="C462" s="3951"/>
      <c r="D462" s="3951"/>
      <c r="E462" s="3951"/>
      <c r="F462" s="3951"/>
      <c r="G462" s="3951"/>
      <c r="H462" s="3951"/>
      <c r="I462" s="3951"/>
      <c r="J462" s="3951"/>
      <c r="K462" s="3951"/>
      <c r="L462" s="3951"/>
      <c r="M462" s="3951"/>
      <c r="N462" s="3951"/>
      <c r="O462" s="159" t="s">
        <v>719</v>
      </c>
      <c r="P462" s="2664" t="s">
        <v>6931</v>
      </c>
      <c r="Q462" s="2960"/>
      <c r="AE462" s="442"/>
      <c r="AF462" s="442"/>
    </row>
    <row r="463" spans="1:32" s="131" customFormat="1" ht="22.5" customHeight="1">
      <c r="A463" s="140" t="s">
        <v>2021</v>
      </c>
      <c r="B463" s="3951" t="s">
        <v>4107</v>
      </c>
      <c r="C463" s="3951"/>
      <c r="D463" s="3951"/>
      <c r="E463" s="3951"/>
      <c r="F463" s="3951"/>
      <c r="G463" s="3951"/>
      <c r="H463" s="3951"/>
      <c r="I463" s="3951"/>
      <c r="J463" s="3951"/>
      <c r="K463" s="3951"/>
      <c r="L463" s="3951"/>
      <c r="M463" s="3951"/>
      <c r="N463" s="3951"/>
      <c r="O463" s="159" t="s">
        <v>2021</v>
      </c>
      <c r="P463" s="2664" t="s">
        <v>6931</v>
      </c>
      <c r="Q463" s="2960"/>
      <c r="AE463" s="442"/>
      <c r="AF463" s="442"/>
    </row>
    <row r="464" spans="1:32" s="131" customFormat="1" ht="21.75" customHeight="1">
      <c r="A464" s="140" t="s">
        <v>1656</v>
      </c>
      <c r="B464" s="3951" t="s">
        <v>4108</v>
      </c>
      <c r="C464" s="3951"/>
      <c r="D464" s="3951"/>
      <c r="E464" s="3951"/>
      <c r="F464" s="3951"/>
      <c r="G464" s="3951"/>
      <c r="H464" s="3951"/>
      <c r="I464" s="3951"/>
      <c r="J464" s="3951"/>
      <c r="K464" s="3951"/>
      <c r="L464" s="3951"/>
      <c r="M464" s="3951"/>
      <c r="N464" s="3951"/>
      <c r="O464" s="159" t="s">
        <v>1656</v>
      </c>
      <c r="P464" s="2664" t="s">
        <v>6931</v>
      </c>
      <c r="Q464" s="2960"/>
      <c r="AE464" s="442"/>
      <c r="AF464" s="442"/>
    </row>
    <row r="465" spans="1:32" s="403" customFormat="1" ht="21.75" customHeight="1">
      <c r="A465" s="140" t="s">
        <v>1657</v>
      </c>
      <c r="B465" s="3951" t="s">
        <v>4151</v>
      </c>
      <c r="C465" s="3951"/>
      <c r="D465" s="3951"/>
      <c r="E465" s="3951"/>
      <c r="F465" s="3951"/>
      <c r="G465" s="3951"/>
      <c r="H465" s="3951"/>
      <c r="I465" s="3951"/>
      <c r="J465" s="3951"/>
      <c r="K465" s="3951"/>
      <c r="L465" s="3951"/>
      <c r="M465" s="3951"/>
      <c r="N465" s="3951"/>
      <c r="O465" s="159" t="s">
        <v>1657</v>
      </c>
      <c r="P465" s="2665" t="s">
        <v>6931</v>
      </c>
      <c r="Q465" s="2962"/>
      <c r="AE465" s="444"/>
      <c r="AF465" s="444"/>
    </row>
    <row r="466" spans="1:32" ht="11.25" customHeight="1">
      <c r="B466" s="139" t="s">
        <v>3372</v>
      </c>
      <c r="D466" s="139"/>
      <c r="E466" s="139"/>
      <c r="F466" s="139"/>
      <c r="G466" s="139"/>
      <c r="H466" s="40"/>
      <c r="I466" s="2667"/>
      <c r="J466" s="2667"/>
      <c r="K466" s="2667"/>
      <c r="L466" s="1401"/>
      <c r="M466" s="1401"/>
      <c r="N466" s="1401"/>
      <c r="O466" s="1401"/>
      <c r="P466" s="1401"/>
      <c r="Q466" s="782"/>
    </row>
    <row r="467" spans="1:32" ht="12.75" customHeight="1">
      <c r="A467" s="3959" t="s">
        <v>6956</v>
      </c>
      <c r="B467" s="3960"/>
      <c r="C467" s="3960"/>
      <c r="D467" s="3960"/>
      <c r="E467" s="3960"/>
      <c r="F467" s="3960"/>
      <c r="G467" s="3960"/>
      <c r="H467" s="3960"/>
      <c r="I467" s="3960"/>
      <c r="J467" s="3960"/>
      <c r="K467" s="3960"/>
      <c r="L467" s="3960"/>
      <c r="M467" s="3960"/>
      <c r="N467" s="3960"/>
      <c r="O467" s="3960"/>
      <c r="P467" s="3960"/>
      <c r="Q467" s="3961"/>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3"/>
      <c r="B469" s="3954"/>
      <c r="C469" s="3954"/>
      <c r="D469" s="3954"/>
      <c r="E469" s="3954"/>
      <c r="F469" s="3954"/>
      <c r="G469" s="3954"/>
      <c r="H469" s="3954"/>
      <c r="I469" s="3954"/>
      <c r="J469" s="3954"/>
      <c r="K469" s="3954"/>
      <c r="L469" s="3954"/>
      <c r="M469" s="3954"/>
      <c r="N469" s="3954"/>
      <c r="O469" s="3954"/>
      <c r="P469" s="3954"/>
      <c r="Q469" s="3955"/>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3966</v>
      </c>
      <c r="B471" s="4"/>
      <c r="C471" s="4" t="s">
        <v>2525</v>
      </c>
      <c r="D471" s="86"/>
      <c r="E471" s="2653"/>
      <c r="F471" s="2653"/>
      <c r="G471" s="2653"/>
      <c r="H471" s="2653"/>
      <c r="J471" s="2653"/>
      <c r="K471" s="2653"/>
      <c r="L471" s="2653"/>
      <c r="M471" s="2653"/>
      <c r="O471" s="130" t="s">
        <v>1781</v>
      </c>
      <c r="P471" s="3962"/>
      <c r="Q471" s="3963"/>
    </row>
    <row r="472" spans="1:32" ht="11.25" customHeight="1">
      <c r="A472" s="2647"/>
      <c r="B472" s="139" t="s">
        <v>3372</v>
      </c>
      <c r="D472" s="139"/>
      <c r="E472" s="139"/>
      <c r="F472" s="139"/>
      <c r="G472" s="139"/>
      <c r="H472" s="40"/>
      <c r="I472" s="2667"/>
      <c r="J472" s="2667"/>
      <c r="K472" s="2667"/>
      <c r="L472" s="1401"/>
      <c r="M472" s="1401"/>
      <c r="N472" s="1401"/>
      <c r="O472" s="1401"/>
      <c r="P472" s="1401"/>
      <c r="Q472" s="782"/>
    </row>
    <row r="473" spans="1:32" ht="23.45" customHeight="1">
      <c r="A473" s="3959" t="s">
        <v>6957</v>
      </c>
      <c r="B473" s="3960"/>
      <c r="C473" s="3960"/>
      <c r="D473" s="3960"/>
      <c r="E473" s="3960"/>
      <c r="F473" s="3960"/>
      <c r="G473" s="3960"/>
      <c r="H473" s="3960"/>
      <c r="I473" s="3960"/>
      <c r="J473" s="3960"/>
      <c r="K473" s="3960"/>
      <c r="L473" s="3960"/>
      <c r="M473" s="3960"/>
      <c r="N473" s="3960"/>
      <c r="O473" s="3960"/>
      <c r="P473" s="3960"/>
      <c r="Q473" s="3961"/>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3"/>
      <c r="B475" s="3954"/>
      <c r="C475" s="3954"/>
      <c r="D475" s="3954"/>
      <c r="E475" s="3954"/>
      <c r="F475" s="3954"/>
      <c r="G475" s="3954"/>
      <c r="H475" s="3954"/>
      <c r="I475" s="3954"/>
      <c r="J475" s="3954"/>
      <c r="K475" s="3954"/>
      <c r="L475" s="3954"/>
      <c r="M475" s="3954"/>
      <c r="N475" s="3954"/>
      <c r="O475" s="3954"/>
      <c r="P475" s="3954"/>
      <c r="Q475" s="3955"/>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4029</v>
      </c>
      <c r="R534" s="55"/>
      <c r="AE534" s="915"/>
      <c r="AF534" s="915"/>
    </row>
    <row r="535" spans="1:32" s="912" customFormat="1" ht="11.25">
      <c r="A535" s="55"/>
      <c r="B535" s="55"/>
      <c r="C535" s="912" t="s">
        <v>2425</v>
      </c>
      <c r="M535" s="912" t="s">
        <v>4060</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4030</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2100</v>
      </c>
      <c r="M539" s="1827" t="s">
        <v>4089</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UWP+rPGKzdtnACrPVIY3UkPPnN32OnRmfghUriT0VgHpdowIdmkMphEC/PH0TroVSjpOZbxxo6N86MlQnbma0Q==" saltValue="cMET4oL2qAsz30Gt8K0d0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scale="98"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49" zoomScale="106" zoomScaleNormal="106" workbookViewId="0">
      <selection activeCell="A34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2021-050 Sparrow Pointe, Rome, Floyd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96" t="s">
        <v>4016</v>
      </c>
      <c r="B3" s="4296"/>
      <c r="C3" s="4296"/>
      <c r="D3" s="4296"/>
      <c r="E3" s="4296"/>
      <c r="F3" s="4296"/>
      <c r="G3" s="4296"/>
      <c r="H3" s="4296"/>
      <c r="I3" s="4296"/>
      <c r="J3" s="4296"/>
      <c r="K3" s="4296"/>
      <c r="L3" s="4296"/>
      <c r="M3" s="767"/>
      <c r="N3" s="73"/>
      <c r="O3" s="83" t="s">
        <v>2117</v>
      </c>
      <c r="P3" s="984" t="s">
        <v>245</v>
      </c>
      <c r="Q3" s="1302"/>
      <c r="R3" s="1302"/>
      <c r="S3" s="1302"/>
    </row>
    <row r="4" spans="1:22" s="44" customFormat="1" ht="12" customHeight="1">
      <c r="A4" s="4296"/>
      <c r="B4" s="4296"/>
      <c r="C4" s="4296"/>
      <c r="D4" s="4296"/>
      <c r="E4" s="4296"/>
      <c r="F4" s="4296"/>
      <c r="G4" s="4296"/>
      <c r="H4" s="4296"/>
      <c r="I4" s="4296"/>
      <c r="J4" s="4296"/>
      <c r="K4" s="4296"/>
      <c r="L4" s="4296"/>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3" t="str">
        <f>'Part I-Project Information'!$B$7</f>
        <v>2021 Core Application</v>
      </c>
      <c r="C6" s="4323"/>
      <c r="D6" s="4323"/>
      <c r="E6" s="4323"/>
      <c r="F6" s="4323"/>
      <c r="G6" s="445"/>
      <c r="H6" s="42"/>
      <c r="I6" s="42"/>
      <c r="J6" s="42"/>
      <c r="L6" s="69" t="s">
        <v>1180</v>
      </c>
      <c r="M6" s="3"/>
      <c r="N6" s="9"/>
      <c r="O6" s="1686">
        <f>O401</f>
        <v>61</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4" t="s">
        <v>6315</v>
      </c>
      <c r="B8" s="4324"/>
      <c r="C8" s="4324"/>
      <c r="D8" s="4007" t="s">
        <v>6316</v>
      </c>
      <c r="E8" s="4007"/>
      <c r="F8" s="4007"/>
      <c r="G8" s="4007"/>
      <c r="H8" s="4007"/>
      <c r="I8" s="4007"/>
      <c r="J8" s="4007"/>
      <c r="K8" s="4007"/>
      <c r="L8" s="4007"/>
      <c r="M8" s="4007"/>
      <c r="O8" s="2520"/>
      <c r="P8" s="2981"/>
      <c r="Q8" s="36" t="s">
        <v>6352</v>
      </c>
      <c r="R8" s="429"/>
      <c r="S8" s="156"/>
    </row>
    <row r="9" spans="1:22" s="42" customFormat="1" ht="12" customHeight="1">
      <c r="A9" s="4324"/>
      <c r="B9" s="4324"/>
      <c r="C9" s="4324"/>
      <c r="D9" s="4007"/>
      <c r="E9" s="4007"/>
      <c r="F9" s="4007"/>
      <c r="G9" s="4007"/>
      <c r="H9" s="4007"/>
      <c r="I9" s="4007"/>
      <c r="J9" s="4007"/>
      <c r="K9" s="4007"/>
      <c r="L9" s="4007"/>
      <c r="M9" s="400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3" t="s">
        <v>6351</v>
      </c>
      <c r="C11" s="4294"/>
      <c r="D11" s="4294"/>
      <c r="E11" s="4294"/>
      <c r="F11" s="4294"/>
      <c r="G11" s="4294"/>
      <c r="H11" s="4294"/>
      <c r="I11" s="4294"/>
      <c r="J11" s="4294"/>
      <c r="K11" s="4294"/>
      <c r="L11" s="4294"/>
      <c r="M11" s="4294"/>
      <c r="N11" s="4294"/>
      <c r="O11" s="4294"/>
      <c r="P11" s="4295"/>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4006</v>
      </c>
      <c r="I14" s="66"/>
      <c r="J14" s="66"/>
      <c r="K14" s="66"/>
      <c r="L14" s="66"/>
      <c r="M14" s="1265" t="s">
        <v>4005</v>
      </c>
      <c r="N14" s="66"/>
      <c r="O14" s="2520"/>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20" t="s">
        <v>6826</v>
      </c>
      <c r="G16" s="4320"/>
      <c r="H16" s="4320"/>
      <c r="I16" s="4320"/>
      <c r="J16" s="4320"/>
      <c r="K16" s="4320"/>
      <c r="L16" s="4320"/>
      <c r="M16" s="4320"/>
      <c r="N16" s="4320"/>
      <c r="O16" s="1287" t="s">
        <v>3973</v>
      </c>
      <c r="P16" s="1288">
        <f>SUM(P17:P29)</f>
        <v>0</v>
      </c>
      <c r="Q16" s="4217" t="s">
        <v>4067</v>
      </c>
      <c r="R16" s="4217"/>
      <c r="S16" s="4217"/>
      <c r="T16" s="4217"/>
      <c r="U16" s="4217"/>
      <c r="V16" s="4217"/>
    </row>
    <row r="17" spans="1:33" s="42" customFormat="1" ht="10.5" customHeight="1">
      <c r="A17" s="993" t="s">
        <v>1713</v>
      </c>
      <c r="B17" s="990" t="s">
        <v>3546</v>
      </c>
      <c r="C17" s="991"/>
      <c r="D17" s="992"/>
      <c r="E17" s="1281">
        <f>$O$98</f>
        <v>20</v>
      </c>
      <c r="F17" s="4321" t="str">
        <f>$A$104</f>
        <v xml:space="preserve">The proposed project is within one half mile of a place of worship, department store, restaurant, pharmacy, bank, medical care provider, post office, and a grocery store and within one mile of a hospital, recreation center, public park, public library, and police station. The applicant is eligible for 20 desirable points. There are no undesirables. Please see Tab 27 for the Desirable/Undesirable Certification. </v>
      </c>
      <c r="G17" s="4322"/>
      <c r="H17" s="4322"/>
      <c r="I17" s="4322"/>
      <c r="J17" s="4322"/>
      <c r="K17" s="4322"/>
      <c r="L17" s="4322"/>
      <c r="M17" s="4322"/>
      <c r="N17" s="4322"/>
      <c r="O17" s="4322"/>
      <c r="P17" s="2982"/>
      <c r="Q17" s="4217"/>
      <c r="R17" s="4217"/>
      <c r="S17" s="4217"/>
      <c r="T17" s="4217"/>
      <c r="U17" s="4217"/>
      <c r="V17" s="4217"/>
    </row>
    <row r="18" spans="1:33" s="42" customFormat="1" ht="10.5" customHeight="1">
      <c r="A18" s="993" t="s">
        <v>505</v>
      </c>
      <c r="B18" s="841" t="s">
        <v>4240</v>
      </c>
      <c r="C18" s="942"/>
      <c r="D18" s="994"/>
      <c r="E18" s="1282">
        <f>$O$108</f>
        <v>3</v>
      </c>
      <c r="F18" s="4243" t="str">
        <f>$A$142</f>
        <v>Rome Transit Department offers five (5) fixed routes. Route One B has a stop on Martha Berry Avenue within 0.1 miles walking from the property pedestrian entrance. The services are offered no less than five days a week. Links to bothschedule and routes can be found at the website (https://www.romefloyd.com/departments/transit-department). See Tab 28 of the application for transit service documentation.</v>
      </c>
      <c r="G18" s="4244"/>
      <c r="H18" s="4244"/>
      <c r="I18" s="4244"/>
      <c r="J18" s="4244"/>
      <c r="K18" s="4244"/>
      <c r="L18" s="4244"/>
      <c r="M18" s="4244"/>
      <c r="N18" s="4244"/>
      <c r="O18" s="4245"/>
      <c r="P18" s="2983"/>
      <c r="Q18" s="4254" t="str">
        <f>IF(OR($A$104="",$A$142="",$A$159="",$A$180="",$A$195="",$A$215="",$A$233="",$A$243="",$A$252="",$A$290="",$A$326="",$A$346="",$A$375=""),"Some Applicant Scoring Justification boxes are empty! Check to see if points claimed.","")</f>
        <v/>
      </c>
      <c r="R18" s="4255"/>
      <c r="S18" s="4255"/>
    </row>
    <row r="19" spans="1:33" s="42" customFormat="1" ht="10.5" customHeight="1">
      <c r="A19" s="993" t="s">
        <v>742</v>
      </c>
      <c r="B19" s="841" t="s">
        <v>3485</v>
      </c>
      <c r="C19" s="942"/>
      <c r="D19" s="994"/>
      <c r="E19" s="1282">
        <f>$O$147</f>
        <v>1</v>
      </c>
      <c r="F19" s="4243" t="str">
        <f>$A$159</f>
        <v>See Tab 29 for attendance zone confirmation and 2018, 2019 Beating the Odds and CCRPI scores for Elm Street Elementary, Rome Middle School, and Rome High School. Included in the BTO scores summary are 5 other schools within the school disctric that are outside of the attendance zone of this subject site.</v>
      </c>
      <c r="G19" s="4244"/>
      <c r="H19" s="4244"/>
      <c r="I19" s="4244"/>
      <c r="J19" s="4244"/>
      <c r="K19" s="4244"/>
      <c r="L19" s="4244"/>
      <c r="M19" s="4244"/>
      <c r="N19" s="4244"/>
      <c r="O19" s="4245"/>
      <c r="P19" s="2983"/>
      <c r="Q19" s="4254"/>
      <c r="R19" s="4255"/>
      <c r="S19" s="4255"/>
    </row>
    <row r="20" spans="1:33" s="42" customFormat="1" ht="10.5" customHeight="1">
      <c r="A20" s="1685" t="s">
        <v>281</v>
      </c>
      <c r="B20" s="841" t="s">
        <v>3547</v>
      </c>
      <c r="C20" s="942"/>
      <c r="D20" s="994"/>
      <c r="E20" s="1283">
        <f>$O$163</f>
        <v>7</v>
      </c>
      <c r="F20" s="4243" t="str">
        <f>$A$180</f>
        <v>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v>
      </c>
      <c r="G20" s="4244"/>
      <c r="H20" s="4244"/>
      <c r="I20" s="4244"/>
      <c r="J20" s="4244"/>
      <c r="K20" s="4244"/>
      <c r="L20" s="4244"/>
      <c r="M20" s="4244"/>
      <c r="N20" s="4244"/>
      <c r="O20" s="4245"/>
      <c r="P20" s="2983"/>
      <c r="Q20" s="4254"/>
      <c r="R20" s="4255"/>
      <c r="S20" s="4255"/>
    </row>
    <row r="21" spans="1:33" s="42" customFormat="1" ht="10.5" customHeight="1">
      <c r="A21" s="993" t="s">
        <v>407</v>
      </c>
      <c r="B21" s="1000" t="s">
        <v>3548</v>
      </c>
      <c r="C21" s="1001"/>
      <c r="D21" s="1002"/>
      <c r="E21" s="1284" t="s">
        <v>1654</v>
      </c>
      <c r="F21" s="4327" t="str">
        <f>$A$195</f>
        <v xml:space="preserve">The Developer, Birdsong Housing has engaged South Rome Redevelopment Corporation as consultant to empower their Community Transformation Plan by serving as the Community Based Developer.  For 20 years, South Rome Redevelopment Corporation has served the citizens of Rome through local partnerships with service providers in education, health, transportation, and workforce coupled with the continued support by the City of Rome’s dedication to revitalize the community.  The Community Quarterback board consists of a dynamic group of individuals who are driven to create a successful and meaningful Community Transformation Plan for the community where they live and work.  The Community Improvement Fund will be utilized to activate improvements to the Defined Neighborhood with the direction of community engagement.  The Consulting Agreement is included in Tab 47.  </v>
      </c>
      <c r="G21" s="4328"/>
      <c r="H21" s="4328"/>
      <c r="I21" s="4328"/>
      <c r="J21" s="4328"/>
      <c r="K21" s="4328"/>
      <c r="L21" s="4328"/>
      <c r="M21" s="4328"/>
      <c r="N21" s="4328"/>
      <c r="O21" s="4329"/>
      <c r="P21" s="2983"/>
      <c r="Q21" s="4254"/>
      <c r="R21" s="4255"/>
      <c r="S21" s="4255"/>
    </row>
    <row r="22" spans="1:33" s="42" customFormat="1" ht="10.5" customHeight="1">
      <c r="A22" s="993" t="s">
        <v>346</v>
      </c>
      <c r="B22" s="841" t="s">
        <v>4241</v>
      </c>
      <c r="C22" s="942"/>
      <c r="D22" s="994"/>
      <c r="E22" s="1282">
        <f>$O$199</f>
        <v>0</v>
      </c>
      <c r="F22" s="4243" t="str">
        <f>$A$215</f>
        <v>N/A</v>
      </c>
      <c r="G22" s="4244"/>
      <c r="H22" s="4244"/>
      <c r="I22" s="4244"/>
      <c r="J22" s="4244"/>
      <c r="K22" s="4244"/>
      <c r="L22" s="4244"/>
      <c r="M22" s="4244"/>
      <c r="N22" s="4244"/>
      <c r="O22" s="4245"/>
      <c r="P22" s="2983"/>
      <c r="Q22" s="4254"/>
      <c r="R22" s="4255"/>
      <c r="S22" s="4255"/>
    </row>
    <row r="23" spans="1:33" s="42" customFormat="1" ht="10.5" customHeight="1">
      <c r="A23" s="993" t="s">
        <v>4243</v>
      </c>
      <c r="B23" s="841" t="s">
        <v>3396</v>
      </c>
      <c r="C23" s="942"/>
      <c r="D23" s="994"/>
      <c r="E23" s="1282">
        <f>$O$228</f>
        <v>0</v>
      </c>
      <c r="F23" s="4243" t="str">
        <f>$A$233</f>
        <v>N/A</v>
      </c>
      <c r="G23" s="4244"/>
      <c r="H23" s="4244"/>
      <c r="I23" s="4244"/>
      <c r="J23" s="4244"/>
      <c r="K23" s="4244"/>
      <c r="L23" s="4244"/>
      <c r="M23" s="4244"/>
      <c r="N23" s="4244"/>
      <c r="O23" s="4245"/>
      <c r="P23" s="2983"/>
      <c r="Q23" s="4254"/>
      <c r="R23" s="4255"/>
      <c r="S23" s="4255"/>
    </row>
    <row r="24" spans="1:33" s="42" customFormat="1" ht="10.5" customHeight="1">
      <c r="A24" s="993" t="s">
        <v>4255</v>
      </c>
      <c r="B24" s="841" t="s">
        <v>4244</v>
      </c>
      <c r="C24" s="942"/>
      <c r="D24" s="994"/>
      <c r="E24" s="1284">
        <f>$O$237</f>
        <v>0</v>
      </c>
      <c r="F24" s="4243" t="str">
        <f>$A$243</f>
        <v>N/A</v>
      </c>
      <c r="G24" s="4244"/>
      <c r="H24" s="4244"/>
      <c r="I24" s="4244"/>
      <c r="J24" s="4244"/>
      <c r="K24" s="4244"/>
      <c r="L24" s="4244"/>
      <c r="M24" s="4244"/>
      <c r="N24" s="4244"/>
      <c r="O24" s="4245"/>
      <c r="P24" s="2983"/>
      <c r="Q24" s="4254"/>
      <c r="R24" s="4255"/>
      <c r="S24" s="4255"/>
    </row>
    <row r="25" spans="1:33" s="42" customFormat="1" ht="10.5" customHeight="1">
      <c r="A25" s="1685" t="s">
        <v>6531</v>
      </c>
      <c r="B25" s="841" t="s">
        <v>4245</v>
      </c>
      <c r="C25" s="942"/>
      <c r="D25" s="994"/>
      <c r="E25" s="1282">
        <f>$O$247</f>
        <v>3</v>
      </c>
      <c r="F25" s="4246" t="str">
        <f>$A$252</f>
        <v>The proposed project is not within a one mile buffer of a project awarded in the last six competitive funding cycles.</v>
      </c>
      <c r="G25" s="4247"/>
      <c r="H25" s="4247"/>
      <c r="I25" s="4247"/>
      <c r="J25" s="4247"/>
      <c r="K25" s="4247"/>
      <c r="L25" s="4247"/>
      <c r="M25" s="4247"/>
      <c r="N25" s="4247"/>
      <c r="O25" s="4248"/>
      <c r="P25" s="2983"/>
      <c r="Q25" s="4254"/>
      <c r="R25" s="4255"/>
      <c r="S25" s="4255"/>
    </row>
    <row r="26" spans="1:33" s="42" customFormat="1" ht="10.5" customHeight="1">
      <c r="A26" s="999" t="s">
        <v>3521</v>
      </c>
      <c r="B26" s="1000" t="s">
        <v>3549</v>
      </c>
      <c r="C26" s="1001"/>
      <c r="D26" s="1002"/>
      <c r="E26" s="1285">
        <f>$O$286</f>
        <v>0</v>
      </c>
      <c r="F26" s="4243" t="str">
        <f>$A$290</f>
        <v>N/A</v>
      </c>
      <c r="G26" s="4244"/>
      <c r="H26" s="4244"/>
      <c r="I26" s="4244"/>
      <c r="J26" s="4244"/>
      <c r="K26" s="4244"/>
      <c r="L26" s="4244"/>
      <c r="M26" s="4244"/>
      <c r="N26" s="4244"/>
      <c r="O26" s="4245"/>
      <c r="P26" s="2983"/>
      <c r="Q26" s="4254"/>
      <c r="R26" s="4255"/>
      <c r="S26" s="4255"/>
    </row>
    <row r="27" spans="1:33" s="42" customFormat="1" ht="10.5" customHeight="1">
      <c r="A27" s="993" t="s">
        <v>3519</v>
      </c>
      <c r="B27" s="841" t="s">
        <v>3550</v>
      </c>
      <c r="C27" s="942"/>
      <c r="D27" s="994"/>
      <c r="E27" s="1282">
        <f>$O$294</f>
        <v>0</v>
      </c>
      <c r="F27" s="4243" t="str">
        <f>$A$326</f>
        <v>N/A</v>
      </c>
      <c r="G27" s="4244"/>
      <c r="H27" s="4244"/>
      <c r="I27" s="4244"/>
      <c r="J27" s="4244"/>
      <c r="K27" s="4244"/>
      <c r="L27" s="4244"/>
      <c r="M27" s="4244"/>
      <c r="N27" s="4244"/>
      <c r="O27" s="4245"/>
      <c r="P27" s="2983"/>
      <c r="Q27" s="4254"/>
      <c r="R27" s="4255"/>
      <c r="S27" s="4255"/>
    </row>
    <row r="28" spans="1:33" s="42" customFormat="1" ht="10.5" customHeight="1">
      <c r="A28" s="993" t="s">
        <v>3519</v>
      </c>
      <c r="B28" s="841" t="s">
        <v>3551</v>
      </c>
      <c r="C28" s="942"/>
      <c r="D28" s="994"/>
      <c r="E28" s="1284">
        <f>$O$330</f>
        <v>0</v>
      </c>
      <c r="F28" s="4243" t="str">
        <f>$A$346</f>
        <v>N/A</v>
      </c>
      <c r="G28" s="4244"/>
      <c r="H28" s="4244"/>
      <c r="I28" s="4244"/>
      <c r="J28" s="4244"/>
      <c r="K28" s="4244"/>
      <c r="L28" s="4244"/>
      <c r="M28" s="4244"/>
      <c r="N28" s="4244"/>
      <c r="O28" s="4245"/>
      <c r="P28" s="2983"/>
      <c r="Q28" s="4254"/>
      <c r="R28" s="4255"/>
      <c r="S28" s="4255"/>
    </row>
    <row r="29" spans="1:33" s="42" customFormat="1" ht="10.5" customHeight="1">
      <c r="A29" s="995" t="s">
        <v>3526</v>
      </c>
      <c r="B29" s="996" t="s">
        <v>6361</v>
      </c>
      <c r="C29" s="997"/>
      <c r="D29" s="998"/>
      <c r="E29" s="1709">
        <f>$O$358</f>
        <v>0</v>
      </c>
      <c r="F29" s="4317" t="str">
        <f>$A$375</f>
        <v>N/A</v>
      </c>
      <c r="G29" s="4318"/>
      <c r="H29" s="4318"/>
      <c r="I29" s="4318"/>
      <c r="J29" s="4318"/>
      <c r="K29" s="4318"/>
      <c r="L29" s="4318"/>
      <c r="M29" s="4318"/>
      <c r="N29" s="4318"/>
      <c r="O29" s="4319"/>
      <c r="P29" s="2984"/>
      <c r="Q29" s="4254"/>
      <c r="R29" s="4255"/>
      <c r="S29" s="4255"/>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257" t="s">
        <v>6353</v>
      </c>
      <c r="H31" s="4257"/>
      <c r="I31" s="4257" t="s">
        <v>932</v>
      </c>
      <c r="J31" s="4257"/>
      <c r="K31" s="2671" t="s">
        <v>6354</v>
      </c>
      <c r="L31" s="1613"/>
      <c r="M31" s="4258" t="s">
        <v>6370</v>
      </c>
      <c r="N31" s="4258"/>
      <c r="O31" s="4258"/>
      <c r="P31" s="4258"/>
      <c r="Q31" s="1618"/>
      <c r="R31" s="1618"/>
      <c r="S31" s="2521" t="s">
        <v>6369</v>
      </c>
      <c r="T31" s="1618"/>
      <c r="U31" s="1618"/>
      <c r="V31" s="1618"/>
      <c r="X31" s="4169" t="s">
        <v>6353</v>
      </c>
      <c r="Y31" s="4170"/>
      <c r="Z31" s="4169" t="s">
        <v>932</v>
      </c>
      <c r="AA31" s="4170"/>
      <c r="AB31" s="2522" t="s">
        <v>6354</v>
      </c>
      <c r="AC31" s="4171" t="s">
        <v>6353</v>
      </c>
      <c r="AD31" s="4172"/>
      <c r="AE31" s="4171" t="s">
        <v>932</v>
      </c>
      <c r="AF31" s="4172"/>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351" t="str">
        <f>'Part I-Project Information'!F12</f>
        <v>9% Credit Competitive Round only</v>
      </c>
      <c r="N32" s="4352"/>
      <c r="O32" s="4352"/>
      <c r="P32" s="435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259" t="s">
        <v>6375</v>
      </c>
      <c r="N34" s="4259"/>
      <c r="O34" s="4259"/>
      <c r="P34" s="4259"/>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4240</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4240</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3485</v>
      </c>
      <c r="T37" s="1794"/>
      <c r="U37" s="1795"/>
      <c r="V37" s="1795"/>
      <c r="W37" s="1795"/>
      <c r="X37" s="2537">
        <f>O147</f>
        <v>1</v>
      </c>
      <c r="Y37" s="2538">
        <f>O147</f>
        <v>1</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7</v>
      </c>
      <c r="Y38" s="2541">
        <f>O163</f>
        <v>7</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4241</v>
      </c>
      <c r="C40" s="1792"/>
      <c r="D40" s="1793"/>
      <c r="E40" s="1793"/>
      <c r="F40" s="1793"/>
      <c r="G40" s="2537">
        <v>10</v>
      </c>
      <c r="H40" s="2538">
        <v>5</v>
      </c>
      <c r="I40" s="2537"/>
      <c r="J40" s="2538"/>
      <c r="K40" s="2539"/>
      <c r="L40" s="1613"/>
      <c r="M40" s="4267" t="s">
        <v>6537</v>
      </c>
      <c r="N40" s="4267"/>
      <c r="O40" s="481"/>
      <c r="P40" s="1804" t="str">
        <f>IF('Part I-Project Information'!$P$101="","",'Part I-Project Information'!$P$101)</f>
        <v>No</v>
      </c>
      <c r="Q40" s="1613"/>
      <c r="R40" s="1615" t="s">
        <v>346</v>
      </c>
      <c r="S40" s="2536" t="s">
        <v>4241</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6544</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260" t="str">
        <f>IF($P$45&gt;$P$46,"New Supply",IF($P$45&lt;$P$46,"Rehabilitation",IF(AND($P$45&gt;0,$P$45=$P$46),"Tie","")))</f>
        <v>New Supply</v>
      </c>
      <c r="N43" s="4261"/>
      <c r="O43" s="4261"/>
      <c r="P43" s="4262"/>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4245</v>
      </c>
      <c r="C44" s="1794"/>
      <c r="D44" s="1795"/>
      <c r="E44" s="1795"/>
      <c r="F44" s="1795"/>
      <c r="G44" s="2537">
        <v>5</v>
      </c>
      <c r="H44" s="2538"/>
      <c r="I44" s="2537"/>
      <c r="J44" s="2538"/>
      <c r="K44" s="2539"/>
      <c r="L44" s="1613"/>
      <c r="P44" s="1615" t="s">
        <v>3380</v>
      </c>
      <c r="Q44" s="1613"/>
      <c r="R44" s="1615" t="s">
        <v>3520</v>
      </c>
      <c r="S44" s="2536" t="s">
        <v>4245</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50</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6359</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3520</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25" t="s">
        <v>6825</v>
      </c>
      <c r="N47" s="4325"/>
      <c r="O47" s="4325"/>
      <c r="P47" s="4325"/>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25"/>
      <c r="N48" s="4325"/>
      <c r="O48" s="4325"/>
      <c r="P48" s="4325"/>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25"/>
      <c r="N49" s="4325"/>
      <c r="O49" s="4325"/>
      <c r="P49" s="4325"/>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6360</v>
      </c>
      <c r="C50" s="1794"/>
      <c r="D50" s="1795"/>
      <c r="E50" s="1795"/>
      <c r="F50" s="1795"/>
      <c r="G50" s="2537">
        <v>10</v>
      </c>
      <c r="H50" s="2538">
        <v>10</v>
      </c>
      <c r="I50" s="2537">
        <v>10</v>
      </c>
      <c r="J50" s="2538">
        <v>10</v>
      </c>
      <c r="K50" s="2539">
        <v>10</v>
      </c>
      <c r="L50" s="1613"/>
      <c r="M50" s="4325"/>
      <c r="N50" s="4325"/>
      <c r="O50" s="4325"/>
      <c r="P50" s="4325"/>
      <c r="R50" s="1615" t="s">
        <v>3523</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6361</v>
      </c>
      <c r="C51" s="1794"/>
      <c r="D51" s="1795"/>
      <c r="E51" s="1795"/>
      <c r="F51" s="1795"/>
      <c r="G51" s="2537">
        <v>2</v>
      </c>
      <c r="H51" s="2538"/>
      <c r="I51" s="2537">
        <v>2</v>
      </c>
      <c r="J51" s="2538"/>
      <c r="K51" s="2539"/>
      <c r="L51" s="1613"/>
      <c r="M51" s="4325"/>
      <c r="N51" s="4325"/>
      <c r="O51" s="4325"/>
      <c r="P51" s="4325"/>
      <c r="R51" s="1615" t="s">
        <v>3526</v>
      </c>
      <c r="S51" s="2536" t="s">
        <v>6361</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6362</v>
      </c>
      <c r="C52" s="1794"/>
      <c r="D52" s="1795"/>
      <c r="E52" s="1795"/>
      <c r="F52" s="1795"/>
      <c r="G52" s="2537"/>
      <c r="H52" s="2538"/>
      <c r="I52" s="2537">
        <v>6</v>
      </c>
      <c r="J52" s="2538">
        <v>6</v>
      </c>
      <c r="K52" s="2539">
        <v>6</v>
      </c>
      <c r="L52" s="1613"/>
      <c r="M52" s="4326"/>
      <c r="N52" s="4326"/>
      <c r="O52" s="4326"/>
      <c r="P52" s="4326"/>
      <c r="R52" s="1615" t="s">
        <v>3527</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6363</v>
      </c>
      <c r="C53" s="1794"/>
      <c r="D53" s="1795"/>
      <c r="E53" s="1795"/>
      <c r="F53" s="1795"/>
      <c r="G53" s="2537"/>
      <c r="H53" s="2538"/>
      <c r="I53" s="2537">
        <v>6</v>
      </c>
      <c r="J53" s="2538"/>
      <c r="K53" s="2539"/>
      <c r="L53" s="1613"/>
      <c r="M53" s="4354" t="s">
        <v>6353</v>
      </c>
      <c r="N53" s="4355"/>
      <c r="O53" s="4355"/>
      <c r="P53" s="4356"/>
      <c r="Q53" s="1613"/>
      <c r="R53" s="1615" t="s">
        <v>3528</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6364</v>
      </c>
      <c r="C54" s="1794"/>
      <c r="D54" s="1795"/>
      <c r="E54" s="1795"/>
      <c r="F54" s="1795"/>
      <c r="G54" s="2537"/>
      <c r="H54" s="2538"/>
      <c r="I54" s="2537"/>
      <c r="J54" s="2538">
        <v>4</v>
      </c>
      <c r="K54" s="2539"/>
      <c r="L54" s="1613"/>
      <c r="Q54" s="1613"/>
      <c r="R54" s="1615" t="s">
        <v>3529</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6365</v>
      </c>
      <c r="C55" s="1794"/>
      <c r="D55" s="1795"/>
      <c r="E55" s="1795"/>
      <c r="F55" s="1795"/>
      <c r="G55" s="2537"/>
      <c r="H55" s="2538"/>
      <c r="I55" s="2537">
        <v>2</v>
      </c>
      <c r="J55" s="2538"/>
      <c r="K55" s="2539">
        <v>2</v>
      </c>
      <c r="L55" s="1613"/>
      <c r="M55" s="4259" t="s">
        <v>6372</v>
      </c>
      <c r="N55" s="4259"/>
      <c r="O55" s="4259"/>
      <c r="P55" s="4259"/>
      <c r="Q55" s="1613"/>
      <c r="R55" s="1615" t="s">
        <v>3530</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6366</v>
      </c>
      <c r="C56" s="1796"/>
      <c r="D56" s="1797"/>
      <c r="E56" s="1797"/>
      <c r="F56" s="1797"/>
      <c r="G56" s="2555"/>
      <c r="H56" s="2556">
        <v>16</v>
      </c>
      <c r="I56" s="2555"/>
      <c r="J56" s="2556">
        <v>16</v>
      </c>
      <c r="K56" s="2557"/>
      <c r="L56" s="1613"/>
      <c r="M56" s="4268" t="str">
        <f>'Part I-Project Information'!$H$105</f>
        <v>Other Metro</v>
      </c>
      <c r="N56" s="4269"/>
      <c r="O56" s="4269"/>
      <c r="P56" s="4270"/>
      <c r="Q56" s="1613"/>
      <c r="R56" s="1615" t="s">
        <v>3531</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61</v>
      </c>
      <c r="Y58" s="2562">
        <f t="shared" ref="Y58:AB58" si="1">SUM(Y33:Y56)</f>
        <v>47</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3298</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293" t="s">
        <v>4079</v>
      </c>
      <c r="D65" s="4294"/>
      <c r="E65" s="4294"/>
      <c r="F65" s="4294"/>
      <c r="G65" s="4294"/>
      <c r="H65" s="4294"/>
      <c r="I65" s="4294"/>
      <c r="J65" s="4294"/>
      <c r="K65" s="4294"/>
      <c r="L65" s="4294"/>
      <c r="M65" s="4294"/>
      <c r="N65" s="4294"/>
      <c r="O65" s="4294"/>
      <c r="P65" s="4295"/>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81" t="s">
        <v>6282</v>
      </c>
      <c r="B69" s="4081"/>
      <c r="C69" s="4081"/>
      <c r="D69" s="4081"/>
      <c r="E69" s="4081"/>
      <c r="F69" s="1260" t="s">
        <v>3543</v>
      </c>
      <c r="G69" s="4309" t="s">
        <v>6284</v>
      </c>
      <c r="H69" s="4309"/>
      <c r="I69" s="4309"/>
      <c r="J69" s="1260" t="s">
        <v>3543</v>
      </c>
      <c r="K69" s="4313" t="s">
        <v>6283</v>
      </c>
      <c r="L69" s="4313"/>
      <c r="M69" s="4313"/>
      <c r="N69" s="4313"/>
      <c r="O69" s="4307" t="s">
        <v>3543</v>
      </c>
      <c r="P69" s="4308"/>
      <c r="R69" s="429"/>
      <c r="S69" s="156"/>
    </row>
    <row r="70" spans="1:20" s="42" customFormat="1" ht="12.75" customHeight="1">
      <c r="A70" s="4306"/>
      <c r="B70" s="4306"/>
      <c r="C70" s="4306"/>
      <c r="D70" s="4306"/>
      <c r="E70" s="4306"/>
      <c r="F70" s="76">
        <f>SUM(F71:F82)</f>
        <v>0</v>
      </c>
      <c r="G70" s="4310"/>
      <c r="H70" s="4311"/>
      <c r="I70" s="4312"/>
      <c r="J70" s="76">
        <f>SUM(J71:J82)</f>
        <v>0</v>
      </c>
      <c r="K70" s="4314"/>
      <c r="L70" s="4315"/>
      <c r="M70" s="4315"/>
      <c r="N70" s="4316"/>
      <c r="O70" s="4297">
        <f>SUM(O71:O82)</f>
        <v>0</v>
      </c>
      <c r="P70" s="4298"/>
      <c r="Q70" s="429"/>
      <c r="R70" s="156"/>
    </row>
    <row r="71" spans="1:20" s="42" customFormat="1" ht="24.75" customHeight="1">
      <c r="A71" s="4299">
        <v>1</v>
      </c>
      <c r="B71" s="4300"/>
      <c r="C71" s="4300"/>
      <c r="D71" s="4300"/>
      <c r="E71" s="4301"/>
      <c r="F71" s="2986"/>
      <c r="G71" s="4299">
        <v>1</v>
      </c>
      <c r="H71" s="4300"/>
      <c r="I71" s="4301"/>
      <c r="J71" s="775" t="s">
        <v>1654</v>
      </c>
      <c r="K71" s="4302">
        <v>1</v>
      </c>
      <c r="L71" s="4303"/>
      <c r="M71" s="4303"/>
      <c r="N71" s="4303"/>
      <c r="O71" s="4304" t="s">
        <v>1654</v>
      </c>
      <c r="P71" s="4305"/>
      <c r="Q71" s="427" t="s">
        <v>1208</v>
      </c>
      <c r="R71" s="156"/>
    </row>
    <row r="72" spans="1:20" s="42" customFormat="1" ht="24.75" customHeight="1">
      <c r="A72" s="4251">
        <v>2</v>
      </c>
      <c r="B72" s="4252"/>
      <c r="C72" s="4252"/>
      <c r="D72" s="4252"/>
      <c r="E72" s="4253"/>
      <c r="F72" s="2987"/>
      <c r="G72" s="4251">
        <v>2</v>
      </c>
      <c r="H72" s="4252"/>
      <c r="I72" s="4253"/>
      <c r="J72" s="2987"/>
      <c r="K72" s="4265">
        <v>2</v>
      </c>
      <c r="L72" s="4266"/>
      <c r="M72" s="4266"/>
      <c r="N72" s="4266"/>
      <c r="O72" s="4241"/>
      <c r="P72" s="4242"/>
      <c r="Q72" s="428"/>
      <c r="R72" s="156"/>
    </row>
    <row r="73" spans="1:20" s="42" customFormat="1" ht="24.75" customHeight="1">
      <c r="A73" s="4251">
        <v>3</v>
      </c>
      <c r="B73" s="4252"/>
      <c r="C73" s="4252"/>
      <c r="D73" s="4252"/>
      <c r="E73" s="4253"/>
      <c r="F73" s="2987"/>
      <c r="G73" s="4251">
        <v>3</v>
      </c>
      <c r="H73" s="4252"/>
      <c r="I73" s="4253"/>
      <c r="J73" s="1003" t="s">
        <v>2692</v>
      </c>
      <c r="K73" s="4265">
        <v>3</v>
      </c>
      <c r="L73" s="4266"/>
      <c r="M73" s="4266"/>
      <c r="N73" s="4266"/>
      <c r="O73" s="4422" t="s">
        <v>2692</v>
      </c>
      <c r="P73" s="4423"/>
      <c r="Q73" s="4420" t="s">
        <v>3972</v>
      </c>
      <c r="R73" s="4421"/>
      <c r="S73" s="1262"/>
      <c r="T73" s="1262"/>
    </row>
    <row r="74" spans="1:20" s="42" customFormat="1" ht="24.75" customHeight="1">
      <c r="A74" s="4251">
        <v>4</v>
      </c>
      <c r="B74" s="4252"/>
      <c r="C74" s="4252"/>
      <c r="D74" s="4252"/>
      <c r="E74" s="4253"/>
      <c r="F74" s="2987"/>
      <c r="G74" s="4251">
        <v>4</v>
      </c>
      <c r="H74" s="4252"/>
      <c r="I74" s="4253"/>
      <c r="J74" s="2987"/>
      <c r="K74" s="4265">
        <v>4</v>
      </c>
      <c r="L74" s="4266"/>
      <c r="M74" s="4266"/>
      <c r="N74" s="4266"/>
      <c r="O74" s="4422" t="s">
        <v>2692</v>
      </c>
      <c r="P74" s="4423"/>
      <c r="Q74" s="4420"/>
      <c r="R74" s="4421"/>
      <c r="S74" s="1262"/>
      <c r="T74" s="1262"/>
    </row>
    <row r="75" spans="1:20" s="42" customFormat="1" ht="24.75" customHeight="1">
      <c r="A75" s="4251">
        <v>5</v>
      </c>
      <c r="B75" s="4252"/>
      <c r="C75" s="4252"/>
      <c r="D75" s="4252"/>
      <c r="E75" s="4253"/>
      <c r="F75" s="2987"/>
      <c r="G75" s="4251">
        <v>5</v>
      </c>
      <c r="H75" s="4252"/>
      <c r="I75" s="4253"/>
      <c r="J75" s="1003" t="s">
        <v>3266</v>
      </c>
      <c r="K75" s="4265">
        <v>5</v>
      </c>
      <c r="L75" s="4266"/>
      <c r="M75" s="4266"/>
      <c r="N75" s="4266"/>
      <c r="O75" s="4241"/>
      <c r="P75" s="4242"/>
      <c r="Q75" s="4420"/>
      <c r="R75" s="4421"/>
      <c r="S75" s="1262"/>
      <c r="T75" s="1262"/>
    </row>
    <row r="76" spans="1:20" s="42" customFormat="1" ht="24" customHeight="1">
      <c r="A76" s="4251">
        <v>6</v>
      </c>
      <c r="B76" s="4252"/>
      <c r="C76" s="4252"/>
      <c r="D76" s="4252"/>
      <c r="E76" s="4253"/>
      <c r="F76" s="2987"/>
      <c r="G76" s="4251">
        <v>6</v>
      </c>
      <c r="H76" s="4252"/>
      <c r="I76" s="4253"/>
      <c r="J76" s="2987"/>
      <c r="K76" s="4265">
        <v>6</v>
      </c>
      <c r="L76" s="4266"/>
      <c r="M76" s="4266"/>
      <c r="N76" s="4266"/>
      <c r="O76" s="4241"/>
      <c r="P76" s="4242"/>
      <c r="Q76" s="4420"/>
      <c r="R76" s="4421"/>
    </row>
    <row r="77" spans="1:20" s="42" customFormat="1" ht="24.75" customHeight="1">
      <c r="A77" s="4251">
        <v>7</v>
      </c>
      <c r="B77" s="4252"/>
      <c r="C77" s="4252"/>
      <c r="D77" s="4252"/>
      <c r="E77" s="4253"/>
      <c r="F77" s="2987"/>
      <c r="G77" s="4251">
        <v>7</v>
      </c>
      <c r="H77" s="4252"/>
      <c r="I77" s="4253"/>
      <c r="J77" s="1003" t="s">
        <v>3267</v>
      </c>
      <c r="K77" s="4265">
        <v>7</v>
      </c>
      <c r="L77" s="4266"/>
      <c r="M77" s="4266"/>
      <c r="N77" s="4266"/>
      <c r="O77" s="4241"/>
      <c r="P77" s="4242"/>
      <c r="Q77" s="156"/>
      <c r="R77" s="156"/>
    </row>
    <row r="78" spans="1:20" s="42" customFormat="1" ht="24.75" customHeight="1">
      <c r="A78" s="4251">
        <v>8</v>
      </c>
      <c r="B78" s="4252"/>
      <c r="C78" s="4252"/>
      <c r="D78" s="4252"/>
      <c r="E78" s="4253"/>
      <c r="F78" s="2987"/>
      <c r="G78" s="4251">
        <v>8</v>
      </c>
      <c r="H78" s="4252"/>
      <c r="I78" s="4253"/>
      <c r="J78" s="2987"/>
      <c r="K78" s="4265">
        <v>8</v>
      </c>
      <c r="L78" s="4266"/>
      <c r="M78" s="4266"/>
      <c r="N78" s="4266"/>
      <c r="O78" s="4241"/>
      <c r="P78" s="4242"/>
      <c r="Q78" s="156"/>
      <c r="R78" s="156"/>
    </row>
    <row r="79" spans="1:20" s="42" customFormat="1" ht="24.75" customHeight="1">
      <c r="A79" s="4251">
        <v>9</v>
      </c>
      <c r="B79" s="4252"/>
      <c r="C79" s="4252"/>
      <c r="D79" s="4252"/>
      <c r="E79" s="4253"/>
      <c r="F79" s="2987"/>
      <c r="G79" s="4251">
        <v>9</v>
      </c>
      <c r="H79" s="4252"/>
      <c r="I79" s="4253"/>
      <c r="J79" s="1003" t="s">
        <v>3268</v>
      </c>
      <c r="K79" s="4265">
        <v>9</v>
      </c>
      <c r="L79" s="4266"/>
      <c r="M79" s="4266"/>
      <c r="N79" s="4266"/>
      <c r="O79" s="4241"/>
      <c r="P79" s="4242"/>
      <c r="Q79" s="156"/>
      <c r="R79" s="156"/>
    </row>
    <row r="80" spans="1:20" s="42" customFormat="1" ht="24.75" customHeight="1">
      <c r="A80" s="4251">
        <v>10</v>
      </c>
      <c r="B80" s="4252"/>
      <c r="C80" s="4252"/>
      <c r="D80" s="4252"/>
      <c r="E80" s="4253"/>
      <c r="F80" s="2987"/>
      <c r="G80" s="4251">
        <v>10</v>
      </c>
      <c r="H80" s="4252"/>
      <c r="I80" s="4253"/>
      <c r="J80" s="2987"/>
      <c r="K80" s="4265">
        <v>10</v>
      </c>
      <c r="L80" s="4266"/>
      <c r="M80" s="4266"/>
      <c r="N80" s="4266"/>
      <c r="O80" s="4241"/>
      <c r="P80" s="4242"/>
      <c r="Q80" s="156"/>
    </row>
    <row r="81" spans="1:19" s="42" customFormat="1" ht="24.75" customHeight="1">
      <c r="A81" s="4251">
        <v>11</v>
      </c>
      <c r="B81" s="4252"/>
      <c r="C81" s="4252"/>
      <c r="D81" s="4252"/>
      <c r="E81" s="4253"/>
      <c r="F81" s="2987"/>
      <c r="G81" s="4251">
        <v>11</v>
      </c>
      <c r="H81" s="4252"/>
      <c r="I81" s="4253"/>
      <c r="J81" s="1003" t="s">
        <v>3269</v>
      </c>
      <c r="K81" s="4251">
        <v>11</v>
      </c>
      <c r="L81" s="4252"/>
      <c r="M81" s="4252"/>
      <c r="N81" s="4253"/>
      <c r="O81" s="4241"/>
      <c r="P81" s="4242"/>
      <c r="Q81" s="156"/>
      <c r="R81" s="156"/>
    </row>
    <row r="82" spans="1:19" s="42" customFormat="1" ht="24.75" customHeight="1">
      <c r="A82" s="4273">
        <v>12</v>
      </c>
      <c r="B82" s="4274"/>
      <c r="C82" s="4274"/>
      <c r="D82" s="4274"/>
      <c r="E82" s="4275"/>
      <c r="F82" s="2988"/>
      <c r="G82" s="4273">
        <v>12</v>
      </c>
      <c r="H82" s="4274"/>
      <c r="I82" s="4275"/>
      <c r="J82" s="2988"/>
      <c r="K82" s="4273">
        <v>12</v>
      </c>
      <c r="L82" s="4274"/>
      <c r="M82" s="4274"/>
      <c r="N82" s="4275"/>
      <c r="O82" s="4276"/>
      <c r="P82" s="4277"/>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6374</v>
      </c>
      <c r="E86" s="57"/>
      <c r="G86" s="87"/>
      <c r="H86" s="55" t="s">
        <v>4065</v>
      </c>
      <c r="I86" s="1316" t="str">
        <f>'Part I-Project Information'!$K$94</f>
        <v>Income Averaging</v>
      </c>
      <c r="M86" s="777"/>
      <c r="N86" s="7"/>
      <c r="Q86" s="7"/>
      <c r="R86" s="367"/>
    </row>
    <row r="87" spans="1:19" s="101" customFormat="1" ht="9" customHeight="1">
      <c r="A87" s="137"/>
      <c r="B87" s="4429" t="s">
        <v>3975</v>
      </c>
      <c r="C87" s="4429"/>
      <c r="D87" s="4429"/>
      <c r="E87" s="4429"/>
      <c r="F87" s="4429"/>
      <c r="G87" s="4429"/>
      <c r="H87" s="4429"/>
      <c r="I87" s="4429"/>
      <c r="J87" s="4429"/>
      <c r="K87" s="4429"/>
      <c r="L87" s="4429"/>
      <c r="M87" s="777"/>
      <c r="N87" s="7"/>
      <c r="Q87" s="7"/>
      <c r="R87" s="367"/>
    </row>
    <row r="88" spans="1:19" s="101" customFormat="1" ht="13.5" customHeight="1">
      <c r="B88" s="4429"/>
      <c r="C88" s="4429"/>
      <c r="D88" s="4429"/>
      <c r="E88" s="4429"/>
      <c r="F88" s="4429"/>
      <c r="G88" s="4429"/>
      <c r="H88" s="4429"/>
      <c r="I88" s="4429"/>
      <c r="J88" s="4429"/>
      <c r="K88" s="4429"/>
      <c r="L88" s="4429"/>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58</v>
      </c>
      <c r="L89" s="4432" t="str">
        <f>IF(AND(O89&gt;0,O90&gt;0), "CHOOSE EITHER A OR B, NOT BOTH!", "")</f>
        <v/>
      </c>
      <c r="M89" s="910">
        <v>2</v>
      </c>
      <c r="N89" s="172" t="s">
        <v>1896</v>
      </c>
      <c r="O89" s="2563">
        <v>2</v>
      </c>
      <c r="P89" s="2989"/>
      <c r="Q89" s="1295" t="str">
        <f>IF(OR($O89=$M89,$O89=0,$O89=""),"","*CHECK!*")</f>
        <v/>
      </c>
      <c r="R89" s="892" t="s">
        <v>4263</v>
      </c>
    </row>
    <row r="90" spans="1:19" s="101" customFormat="1" ht="13.5" customHeight="1">
      <c r="A90" s="1267" t="s">
        <v>3104</v>
      </c>
      <c r="B90" s="1279" t="s">
        <v>1898</v>
      </c>
      <c r="C90" s="1268" t="s">
        <v>3978</v>
      </c>
      <c r="D90" s="52"/>
      <c r="I90" s="1266"/>
      <c r="K90" s="52"/>
      <c r="L90" s="4432"/>
      <c r="M90" s="910">
        <v>2</v>
      </c>
      <c r="N90" s="172" t="s">
        <v>1898</v>
      </c>
      <c r="O90" s="2564"/>
      <c r="P90" s="2990"/>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402" t="s">
        <v>3979</v>
      </c>
      <c r="I92" s="4403"/>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1"/>
      <c r="J93" s="1270">
        <f>'Part VI-Revenues &amp; Expenses'!P65</f>
        <v>50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68"/>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3"/>
      <c r="B96" s="3954"/>
      <c r="C96" s="3954"/>
      <c r="D96" s="3954"/>
      <c r="E96" s="3954"/>
      <c r="F96" s="3954"/>
      <c r="G96" s="3954"/>
      <c r="H96" s="3954"/>
      <c r="I96" s="3954"/>
      <c r="J96" s="3954"/>
      <c r="K96" s="3954"/>
      <c r="L96" s="3954"/>
      <c r="M96" s="3954"/>
      <c r="N96" s="3954"/>
      <c r="O96" s="3954"/>
      <c r="P96" s="3955"/>
      <c r="Q96" s="427"/>
    </row>
    <row r="97" spans="1:21" ht="7.5" customHeight="1" thickBot="1"/>
    <row r="98" spans="1:21" s="43" customFormat="1" ht="13.5" customHeight="1" thickBot="1">
      <c r="A98" s="151" t="s">
        <v>1713</v>
      </c>
      <c r="B98" s="104" t="s">
        <v>3518</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2992"/>
    </row>
    <row r="101" spans="1:21" s="101" customFormat="1" ht="12.75" customHeight="1">
      <c r="A101" s="137" t="s">
        <v>1893</v>
      </c>
      <c r="B101" s="163" t="s">
        <v>1787</v>
      </c>
      <c r="C101" s="4"/>
      <c r="D101" s="4"/>
      <c r="F101" s="291"/>
      <c r="H101" s="753" t="s">
        <v>2565</v>
      </c>
      <c r="I101" s="4280" t="s">
        <v>4246</v>
      </c>
      <c r="J101" s="4281"/>
      <c r="K101" s="4281"/>
      <c r="L101" s="4282"/>
      <c r="M101" s="72">
        <v>20</v>
      </c>
      <c r="N101" s="172" t="s">
        <v>1893</v>
      </c>
      <c r="O101" s="2566">
        <v>20</v>
      </c>
      <c r="P101" s="2993"/>
      <c r="Q101" s="1295"/>
      <c r="R101" s="892" t="s">
        <v>4263</v>
      </c>
    </row>
    <row r="102" spans="1:21" s="101" customFormat="1" ht="12.75" customHeight="1">
      <c r="A102" s="137" t="s">
        <v>1895</v>
      </c>
      <c r="B102" s="163" t="s">
        <v>3416</v>
      </c>
      <c r="D102" s="961"/>
      <c r="F102" s="1317"/>
      <c r="H102" s="753" t="s">
        <v>3484</v>
      </c>
      <c r="I102" s="4283"/>
      <c r="J102" s="4284"/>
      <c r="K102" s="4284"/>
      <c r="L102" s="4285"/>
      <c r="M102" s="2667" t="s">
        <v>1192</v>
      </c>
      <c r="N102" s="439" t="s">
        <v>1895</v>
      </c>
      <c r="O102" s="2567"/>
      <c r="P102" s="2994"/>
      <c r="R102" s="892" t="s">
        <v>4263</v>
      </c>
    </row>
    <row r="103" spans="1:21" s="43" customFormat="1" ht="12.75" customHeight="1" thickBot="1">
      <c r="A103" s="42"/>
      <c r="B103" s="1007" t="s">
        <v>3373</v>
      </c>
      <c r="C103" s="42"/>
      <c r="D103" s="48"/>
      <c r="E103" s="48"/>
      <c r="F103" s="48"/>
      <c r="G103" s="48"/>
      <c r="H103" s="36"/>
      <c r="I103" s="4286"/>
      <c r="J103" s="4287"/>
      <c r="K103" s="4287"/>
      <c r="L103" s="4288"/>
      <c r="M103" s="46"/>
      <c r="N103" s="62"/>
      <c r="O103" s="3"/>
      <c r="P103" s="2652"/>
    </row>
    <row r="104" spans="1:21" s="43" customFormat="1" ht="51" customHeight="1" thickTop="1" thickBot="1">
      <c r="A104" s="4177" t="s">
        <v>6988</v>
      </c>
      <c r="B104" s="4178"/>
      <c r="C104" s="4178"/>
      <c r="D104" s="4178"/>
      <c r="E104" s="4178"/>
      <c r="F104" s="4178"/>
      <c r="G104" s="4178"/>
      <c r="H104" s="4178"/>
      <c r="I104" s="4178"/>
      <c r="J104" s="4178"/>
      <c r="K104" s="4178"/>
      <c r="L104" s="4178"/>
      <c r="M104" s="4178"/>
      <c r="N104" s="4178"/>
      <c r="O104" s="4178"/>
      <c r="P104" s="4179"/>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3"/>
      <c r="B106" s="3954"/>
      <c r="C106" s="3954"/>
      <c r="D106" s="3954"/>
      <c r="E106" s="3954"/>
      <c r="F106" s="3954"/>
      <c r="G106" s="3954"/>
      <c r="H106" s="3954"/>
      <c r="I106" s="3954"/>
      <c r="J106" s="3954"/>
      <c r="K106" s="3954"/>
      <c r="L106" s="3954"/>
      <c r="M106" s="3954"/>
      <c r="N106" s="3954"/>
      <c r="O106" s="3954"/>
      <c r="P106" s="3955"/>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Other Metro</v>
      </c>
      <c r="K108" s="1624" t="s">
        <v>367</v>
      </c>
      <c r="L108" s="1625" t="str">
        <f>M43</f>
        <v>New Supply</v>
      </c>
      <c r="M108" s="2650">
        <v>6</v>
      </c>
      <c r="N108" s="439"/>
      <c r="O108" s="1687">
        <f>MAX(O124,O131,O138)</f>
        <v>3</v>
      </c>
      <c r="P108" s="1687">
        <f>MAX(P124,P131,P138)</f>
        <v>0</v>
      </c>
      <c r="Q108" s="108" t="s">
        <v>422</v>
      </c>
      <c r="R108" s="4218" t="s">
        <v>4123</v>
      </c>
      <c r="S108" s="4219"/>
      <c r="T108" s="4219"/>
      <c r="U108" s="4220"/>
    </row>
    <row r="109" spans="1:21" s="43" customFormat="1" ht="17.25" customHeight="1">
      <c r="A109" s="151"/>
      <c r="B109" s="109" t="s">
        <v>3469</v>
      </c>
      <c r="D109" s="41"/>
      <c r="H109" s="163"/>
      <c r="M109" s="2650"/>
      <c r="N109" s="439"/>
      <c r="O109" s="891" t="s">
        <v>3271</v>
      </c>
      <c r="P109" s="891" t="s">
        <v>3272</v>
      </c>
      <c r="Q109" s="108"/>
      <c r="R109" s="4221"/>
      <c r="S109" s="4222"/>
      <c r="T109" s="4222"/>
      <c r="U109" s="4223"/>
    </row>
    <row r="110" spans="1:21" s="43" customFormat="1" ht="11.25" customHeight="1">
      <c r="A110" s="151"/>
      <c r="B110" s="365" t="s">
        <v>1896</v>
      </c>
      <c r="C110" s="36" t="s">
        <v>3984</v>
      </c>
      <c r="D110" s="961"/>
      <c r="E110" s="101"/>
      <c r="F110" s="101"/>
      <c r="G110" s="101"/>
      <c r="H110" s="45"/>
      <c r="I110" s="49"/>
      <c r="M110" s="2650"/>
      <c r="N110" s="439"/>
      <c r="O110" s="2492" t="s">
        <v>2769</v>
      </c>
      <c r="P110" s="2952"/>
      <c r="Q110" s="108"/>
      <c r="R110" s="4221"/>
      <c r="S110" s="4222"/>
      <c r="T110" s="4222"/>
      <c r="U110" s="4223"/>
    </row>
    <row r="111" spans="1:21" s="43" customFormat="1" ht="11.25" customHeight="1">
      <c r="A111" s="151"/>
      <c r="B111" s="365" t="s">
        <v>1898</v>
      </c>
      <c r="C111" s="36" t="s">
        <v>3985</v>
      </c>
      <c r="D111" s="961"/>
      <c r="E111" s="101"/>
      <c r="F111" s="101"/>
      <c r="G111" s="101"/>
      <c r="H111" s="45"/>
      <c r="I111" s="49"/>
      <c r="J111" s="48"/>
      <c r="K111" s="48"/>
      <c r="L111" s="101"/>
      <c r="M111" s="101"/>
      <c r="N111" s="439"/>
      <c r="O111" s="2669" t="s">
        <v>2769</v>
      </c>
      <c r="P111" s="2953"/>
      <c r="Q111" s="108"/>
      <c r="R111" s="4221"/>
      <c r="S111" s="4222"/>
      <c r="T111" s="4222"/>
      <c r="U111" s="4223"/>
    </row>
    <row r="112" spans="1:21" s="43" customFormat="1" ht="11.25" customHeight="1">
      <c r="A112" s="151"/>
      <c r="B112" s="365" t="s">
        <v>2416</v>
      </c>
      <c r="C112" s="36" t="s">
        <v>6385</v>
      </c>
      <c r="D112" s="961"/>
      <c r="E112" s="101"/>
      <c r="F112" s="101"/>
      <c r="G112" s="101"/>
      <c r="H112" s="45"/>
      <c r="I112" s="49"/>
      <c r="J112" s="48"/>
      <c r="K112" s="48"/>
      <c r="L112" s="101"/>
      <c r="M112" s="101"/>
      <c r="N112" s="439"/>
      <c r="O112" s="2669" t="s">
        <v>6869</v>
      </c>
      <c r="P112" s="2953"/>
      <c r="Q112" s="108"/>
      <c r="R112" s="4221"/>
      <c r="S112" s="4222"/>
      <c r="T112" s="4222"/>
      <c r="U112" s="4223"/>
    </row>
    <row r="113" spans="1:21" s="43" customFormat="1" ht="11.25" customHeight="1">
      <c r="A113" s="151"/>
      <c r="B113" s="365" t="s">
        <v>1178</v>
      </c>
      <c r="C113" s="36" t="s">
        <v>6386</v>
      </c>
      <c r="D113" s="961"/>
      <c r="E113" s="101"/>
      <c r="F113" s="101"/>
      <c r="G113" s="101"/>
      <c r="H113" s="45"/>
      <c r="I113" s="49"/>
      <c r="J113" s="48"/>
      <c r="K113" s="48"/>
      <c r="L113" s="101"/>
      <c r="M113" s="101"/>
      <c r="N113" s="439"/>
      <c r="O113" s="2669" t="s">
        <v>6869</v>
      </c>
      <c r="P113" s="2953"/>
      <c r="Q113" s="108"/>
      <c r="R113" s="4221"/>
      <c r="S113" s="4222"/>
      <c r="T113" s="4222"/>
      <c r="U113" s="4223"/>
    </row>
    <row r="114" spans="1:21" s="43" customFormat="1" ht="11.25" customHeight="1">
      <c r="A114" s="151"/>
      <c r="B114" s="365">
        <v>5</v>
      </c>
      <c r="C114" s="36" t="s">
        <v>6547</v>
      </c>
      <c r="D114" s="961"/>
      <c r="E114" s="101"/>
      <c r="F114" s="101"/>
      <c r="G114" s="101"/>
      <c r="H114" s="45"/>
      <c r="I114" s="49"/>
      <c r="J114" s="48"/>
      <c r="K114" s="48"/>
      <c r="L114" s="101"/>
      <c r="M114" s="101"/>
      <c r="N114" s="439"/>
      <c r="O114" s="2668" t="s">
        <v>2769</v>
      </c>
      <c r="P114" s="2954"/>
      <c r="Q114" s="108"/>
      <c r="R114" s="4221"/>
      <c r="S114" s="4222"/>
      <c r="T114" s="4222"/>
      <c r="U114" s="4223"/>
    </row>
    <row r="115" spans="1:21" s="43" customFormat="1" ht="3" customHeight="1">
      <c r="A115" s="151"/>
      <c r="B115" s="104"/>
      <c r="D115" s="41"/>
      <c r="H115" s="45"/>
      <c r="I115" s="49"/>
      <c r="J115" s="48"/>
      <c r="K115" s="48"/>
      <c r="M115" s="2650"/>
      <c r="N115" s="439"/>
      <c r="O115" s="3"/>
      <c r="P115" s="3"/>
      <c r="Q115" s="108"/>
      <c r="R115" s="4221"/>
      <c r="S115" s="4222"/>
      <c r="T115" s="4222"/>
      <c r="U115" s="4223"/>
    </row>
    <row r="116" spans="1:21" s="43" customFormat="1" ht="13.5" customHeight="1">
      <c r="A116" s="151"/>
      <c r="B116" s="109" t="s">
        <v>3473</v>
      </c>
      <c r="D116" s="41"/>
      <c r="F116" s="4238" t="s">
        <v>3347</v>
      </c>
      <c r="G116" s="4238"/>
      <c r="H116" s="4238"/>
      <c r="I116" s="4238"/>
      <c r="J116" s="4238" t="s">
        <v>3348</v>
      </c>
      <c r="K116" s="4238"/>
      <c r="L116" s="4238"/>
      <c r="M116" s="4238"/>
      <c r="N116" s="439"/>
      <c r="O116" s="4263" t="s">
        <v>4066</v>
      </c>
      <c r="P116" s="4264"/>
      <c r="Q116" s="108"/>
      <c r="R116" s="4221"/>
      <c r="S116" s="4222"/>
      <c r="T116" s="4222"/>
      <c r="U116" s="4223"/>
    </row>
    <row r="117" spans="1:21" s="43" customFormat="1" ht="12.75" customHeight="1">
      <c r="A117" s="151"/>
      <c r="C117" s="462" t="s">
        <v>3472</v>
      </c>
      <c r="D117" s="552"/>
      <c r="E117" s="265"/>
      <c r="F117" s="4227">
        <v>34.266750000000002</v>
      </c>
      <c r="G117" s="4228"/>
      <c r="H117" s="4405"/>
      <c r="I117" s="4406"/>
      <c r="J117" s="4227">
        <v>-85.180031</v>
      </c>
      <c r="K117" s="4228"/>
      <c r="L117" s="4405"/>
      <c r="M117" s="4406"/>
      <c r="N117" s="439"/>
      <c r="Q117" s="108"/>
      <c r="R117" s="4221"/>
      <c r="S117" s="4222"/>
      <c r="T117" s="4222"/>
      <c r="U117" s="4223"/>
    </row>
    <row r="118" spans="1:21" s="43" customFormat="1" ht="12.75" customHeight="1">
      <c r="A118" s="4416" t="s">
        <v>3542</v>
      </c>
      <c r="B118" s="4416"/>
      <c r="E118" s="1252" t="s">
        <v>6387</v>
      </c>
      <c r="F118" s="4278">
        <v>34.264519999999997</v>
      </c>
      <c r="G118" s="4279"/>
      <c r="H118" s="4417"/>
      <c r="I118" s="4418"/>
      <c r="J118" s="4278">
        <v>-85.180233999999999</v>
      </c>
      <c r="K118" s="4279"/>
      <c r="L118" s="4417"/>
      <c r="M118" s="4418"/>
      <c r="N118" s="439"/>
      <c r="O118" s="2568">
        <v>0.1</v>
      </c>
      <c r="P118" s="2995"/>
      <c r="Q118" s="108"/>
      <c r="R118" s="4221"/>
      <c r="S118" s="4222"/>
      <c r="T118" s="4222"/>
      <c r="U118" s="4223"/>
    </row>
    <row r="119" spans="1:21" s="43" customFormat="1" ht="12.75" customHeight="1">
      <c r="A119" s="4416"/>
      <c r="B119" s="4416"/>
      <c r="C119" s="462" t="s">
        <v>3516</v>
      </c>
      <c r="D119" s="552"/>
      <c r="E119" s="265"/>
      <c r="F119" s="4230"/>
      <c r="G119" s="4231"/>
      <c r="H119" s="4291"/>
      <c r="I119" s="4292"/>
      <c r="J119" s="4230"/>
      <c r="K119" s="4231"/>
      <c r="L119" s="4291"/>
      <c r="M119" s="4292"/>
      <c r="N119" s="439"/>
      <c r="O119" s="439"/>
      <c r="P119" s="439"/>
      <c r="Q119" s="108"/>
      <c r="R119" s="4221"/>
      <c r="S119" s="4222"/>
      <c r="T119" s="4222"/>
      <c r="U119" s="4223"/>
    </row>
    <row r="120" spans="1:21" s="43" customFormat="1" ht="12.75" customHeight="1">
      <c r="A120" s="4416"/>
      <c r="B120" s="4416"/>
      <c r="E120" s="1252" t="s">
        <v>3515</v>
      </c>
      <c r="F120" s="4239"/>
      <c r="G120" s="4240"/>
      <c r="H120" s="4289"/>
      <c r="I120" s="4290"/>
      <c r="J120" s="4239"/>
      <c r="K120" s="4240"/>
      <c r="L120" s="4289"/>
      <c r="M120" s="4290"/>
      <c r="N120" s="439"/>
      <c r="O120" s="2568"/>
      <c r="P120" s="2995"/>
      <c r="Q120" s="108"/>
      <c r="R120" s="4224"/>
      <c r="S120" s="4225"/>
      <c r="T120" s="4225"/>
      <c r="U120" s="4226"/>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6382</v>
      </c>
      <c r="B122" s="104"/>
      <c r="D122" s="41"/>
      <c r="F122" s="61" t="s">
        <v>6295</v>
      </c>
      <c r="I122" s="4419" t="str">
        <f>IF(AND(O124&gt;0,O131&gt;0),"Pick A or B, not both!","")</f>
        <v/>
      </c>
      <c r="J122" s="4419"/>
      <c r="K122" s="4419" t="str">
        <f>IF(AND(P124&gt;0,P131&gt;0),"Pick A or B, not both!","")</f>
        <v/>
      </c>
      <c r="L122" s="4419"/>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3369</v>
      </c>
      <c r="D124" s="41"/>
      <c r="F124" s="45" t="s">
        <v>3424</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50"/>
      <c r="N125" s="381"/>
      <c r="O125" s="2668"/>
      <c r="P125" s="2954"/>
      <c r="Q125" s="108"/>
    </row>
    <row r="126" spans="1:21" s="401" customFormat="1" ht="36.75" customHeight="1">
      <c r="B126" s="423" t="s">
        <v>1896</v>
      </c>
      <c r="C126" s="3951" t="s">
        <v>6390</v>
      </c>
      <c r="D126" s="3951"/>
      <c r="E126" s="3951"/>
      <c r="F126" s="3951"/>
      <c r="G126" s="3951"/>
      <c r="H126" s="3951"/>
      <c r="I126" s="4407" t="s">
        <v>3514</v>
      </c>
      <c r="J126" s="4408"/>
      <c r="K126" s="4408"/>
      <c r="L126" s="4409"/>
      <c r="M126" s="479">
        <v>6</v>
      </c>
      <c r="N126" s="452" t="s">
        <v>1896</v>
      </c>
      <c r="O126" s="2569"/>
      <c r="P126" s="2996"/>
      <c r="Q126" s="1295"/>
      <c r="R126" s="892" t="s">
        <v>4263</v>
      </c>
    </row>
    <row r="127" spans="1:21" s="401" customFormat="1" ht="12" customHeight="1">
      <c r="A127" s="531" t="s">
        <v>1304</v>
      </c>
      <c r="B127" s="423" t="s">
        <v>1898</v>
      </c>
      <c r="C127" s="3951" t="s">
        <v>6384</v>
      </c>
      <c r="D127" s="3951"/>
      <c r="E127" s="3951"/>
      <c r="F127" s="3951"/>
      <c r="G127" s="534"/>
      <c r="I127" s="4410"/>
      <c r="J127" s="4411"/>
      <c r="K127" s="4411"/>
      <c r="L127" s="4412"/>
      <c r="M127" s="72">
        <v>5</v>
      </c>
      <c r="N127" s="421" t="s">
        <v>1898</v>
      </c>
      <c r="O127" s="2570"/>
      <c r="P127" s="2997"/>
      <c r="Q127" s="1295"/>
      <c r="R127" s="892" t="s">
        <v>4263</v>
      </c>
    </row>
    <row r="128" spans="1:21" s="401" customFormat="1" ht="12" customHeight="1">
      <c r="B128" s="423"/>
      <c r="C128" s="3951"/>
      <c r="D128" s="3951"/>
      <c r="E128" s="3951"/>
      <c r="F128" s="3951"/>
      <c r="G128" s="4121" t="s">
        <v>6388</v>
      </c>
      <c r="H128" s="4404"/>
      <c r="I128" s="4410"/>
      <c r="J128" s="4411"/>
      <c r="K128" s="4411"/>
      <c r="L128" s="4412"/>
      <c r="M128" s="4430" t="str">
        <f>IF(AND(O127&gt;0,O126&gt;0),"Pick A1 or A2!","")</f>
        <v/>
      </c>
      <c r="N128" s="4431"/>
      <c r="O128" s="4431"/>
      <c r="P128" s="4431"/>
      <c r="Q128" s="1295"/>
      <c r="R128" s="1260" t="s">
        <v>6566</v>
      </c>
      <c r="S128" s="1260" t="s">
        <v>6383</v>
      </c>
    </row>
    <row r="129" spans="1:21" s="401" customFormat="1" ht="12" customHeight="1">
      <c r="B129" s="423"/>
      <c r="C129" s="3951"/>
      <c r="D129" s="3951"/>
      <c r="E129" s="3951"/>
      <c r="F129" s="3951"/>
      <c r="G129" s="2571"/>
      <c r="H129" s="2998"/>
      <c r="I129" s="4410"/>
      <c r="J129" s="4411"/>
      <c r="K129" s="4411"/>
      <c r="L129" s="4412"/>
      <c r="Q129" s="895"/>
      <c r="R129" s="1626">
        <v>0.25</v>
      </c>
      <c r="S129" s="1626">
        <v>5</v>
      </c>
    </row>
    <row r="130" spans="1:21" s="401" customFormat="1" ht="12" customHeight="1">
      <c r="B130" s="423"/>
      <c r="C130" s="3951"/>
      <c r="D130" s="3951"/>
      <c r="E130" s="3951"/>
      <c r="F130" s="3951"/>
      <c r="G130" s="1673"/>
      <c r="H130" s="1673"/>
      <c r="I130" s="4413"/>
      <c r="J130" s="4414"/>
      <c r="K130" s="4414"/>
      <c r="L130" s="4415"/>
      <c r="M130" s="101"/>
      <c r="N130" s="101"/>
      <c r="O130" s="101"/>
      <c r="P130" s="101"/>
      <c r="Q130" s="895"/>
      <c r="R130" s="1626">
        <v>0.5</v>
      </c>
      <c r="S130" s="1626">
        <v>4.5</v>
      </c>
    </row>
    <row r="131" spans="1:21" s="401" customFormat="1" ht="12" customHeight="1">
      <c r="A131" s="142" t="s">
        <v>1895</v>
      </c>
      <c r="B131" s="972" t="s">
        <v>3370</v>
      </c>
      <c r="C131" s="573"/>
      <c r="D131" s="573"/>
      <c r="F131" s="959" t="s">
        <v>3423</v>
      </c>
      <c r="I131" s="4425" t="s">
        <v>6958</v>
      </c>
      <c r="J131" s="4426"/>
      <c r="K131" s="4426"/>
      <c r="L131" s="4249">
        <v>7062364523</v>
      </c>
      <c r="M131" s="2650">
        <v>3</v>
      </c>
      <c r="N131" s="439" t="s">
        <v>1895</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427"/>
      <c r="J132" s="4428"/>
      <c r="K132" s="4428"/>
      <c r="L132" s="4250"/>
      <c r="M132" s="101"/>
      <c r="N132" s="378" t="s">
        <v>3394</v>
      </c>
      <c r="O132" s="2500" t="s">
        <v>2769</v>
      </c>
      <c r="P132" s="2964"/>
      <c r="Q132" s="108"/>
      <c r="R132" s="380"/>
      <c r="S132" s="401"/>
      <c r="T132" s="401"/>
      <c r="U132" s="401"/>
    </row>
    <row r="133" spans="1:21" s="43" customFormat="1" ht="11.25" customHeight="1">
      <c r="A133" s="151"/>
      <c r="B133" s="378" t="s">
        <v>3395</v>
      </c>
      <c r="C133" s="170" t="s">
        <v>3982</v>
      </c>
      <c r="D133" s="961"/>
      <c r="F133" s="101"/>
      <c r="G133" s="101"/>
      <c r="H133" s="45"/>
      <c r="I133" s="4232" t="s">
        <v>6959</v>
      </c>
      <c r="J133" s="4233"/>
      <c r="K133" s="4233"/>
      <c r="L133" s="4234"/>
      <c r="M133" s="101"/>
      <c r="N133" s="378" t="s">
        <v>3395</v>
      </c>
      <c r="O133" s="2668" t="s">
        <v>2769</v>
      </c>
      <c r="P133" s="2954"/>
      <c r="Q133" s="108"/>
      <c r="R133" s="380"/>
      <c r="S133" s="401"/>
      <c r="T133" s="401"/>
      <c r="U133" s="401"/>
    </row>
    <row r="134" spans="1:21" s="401" customFormat="1" ht="12" customHeight="1">
      <c r="A134" s="137"/>
      <c r="B134" s="1319" t="s">
        <v>1896</v>
      </c>
      <c r="C134" s="4165" t="s">
        <v>3470</v>
      </c>
      <c r="D134" s="4165"/>
      <c r="E134" s="4165"/>
      <c r="F134" s="4165"/>
      <c r="G134" s="4165"/>
      <c r="H134" s="4229"/>
      <c r="I134" s="4235"/>
      <c r="J134" s="4236"/>
      <c r="K134" s="4236"/>
      <c r="L134" s="4237"/>
      <c r="M134" s="72">
        <v>3</v>
      </c>
      <c r="N134" s="421" t="s">
        <v>1896</v>
      </c>
      <c r="O134" s="2563">
        <v>3</v>
      </c>
      <c r="P134" s="2999"/>
      <c r="Q134" s="895" t="str">
        <f>IF(OR($O134=$M134,$O134=0,$O134=""),"","*CHECK!*")</f>
        <v/>
      </c>
      <c r="R134" s="892" t="s">
        <v>4263</v>
      </c>
    </row>
    <row r="135" spans="1:21" s="43" customFormat="1" ht="12" customHeight="1">
      <c r="A135" s="531" t="s">
        <v>1304</v>
      </c>
      <c r="B135" s="1319" t="s">
        <v>1898</v>
      </c>
      <c r="C135" s="4165" t="s">
        <v>3471</v>
      </c>
      <c r="D135" s="4165"/>
      <c r="E135" s="4165"/>
      <c r="F135" s="4165"/>
      <c r="G135" s="4165"/>
      <c r="H135" s="4229"/>
      <c r="I135" s="4232" t="s">
        <v>6960</v>
      </c>
      <c r="J135" s="4233"/>
      <c r="K135" s="4233"/>
      <c r="L135" s="4234"/>
      <c r="M135" s="72">
        <v>2</v>
      </c>
      <c r="N135" s="421" t="s">
        <v>1898</v>
      </c>
      <c r="O135" s="2563"/>
      <c r="P135" s="2989"/>
      <c r="Q135" s="895" t="str">
        <f>IF(OR($O135=$M135,$O135=0,$O135=""),"","*CHECK!*")</f>
        <v/>
      </c>
      <c r="R135" s="892" t="s">
        <v>4263</v>
      </c>
    </row>
    <row r="136" spans="1:21" s="43" customFormat="1" ht="21.75" customHeight="1">
      <c r="A136" s="1715" t="s">
        <v>1304</v>
      </c>
      <c r="B136" s="1716" t="s">
        <v>2416</v>
      </c>
      <c r="C136" s="3951" t="s">
        <v>6548</v>
      </c>
      <c r="D136" s="3951"/>
      <c r="E136" s="3951"/>
      <c r="F136" s="3951"/>
      <c r="G136" s="3951"/>
      <c r="H136" s="3977"/>
      <c r="I136" s="4235"/>
      <c r="J136" s="4236"/>
      <c r="K136" s="4236"/>
      <c r="L136" s="4237"/>
      <c r="M136" s="479">
        <v>1</v>
      </c>
      <c r="N136" s="452" t="s">
        <v>2416</v>
      </c>
      <c r="O136" s="2572"/>
      <c r="P136" s="3000"/>
      <c r="Q136" s="895" t="str">
        <f>IF(OR($O136=$M136,$O136=0,$O136=""),"","*CHECK!*")</f>
        <v/>
      </c>
      <c r="R136" s="892" t="s">
        <v>4263</v>
      </c>
    </row>
    <row r="137" spans="1:21" s="43" customFormat="1" ht="12.6" customHeight="1">
      <c r="A137" s="483" t="s">
        <v>2608</v>
      </c>
      <c r="B137" s="163"/>
      <c r="E137" s="41"/>
      <c r="I137" s="4232" t="s">
        <v>6960</v>
      </c>
      <c r="J137" s="4233"/>
      <c r="K137" s="4233"/>
      <c r="L137" s="4234"/>
      <c r="M137" s="72"/>
      <c r="N137" s="72"/>
      <c r="O137" s="72"/>
      <c r="P137" s="72"/>
      <c r="Q137" s="367"/>
      <c r="R137" s="367"/>
    </row>
    <row r="138" spans="1:21" s="101" customFormat="1" ht="12" customHeight="1">
      <c r="A138" s="137"/>
      <c r="B138" s="423" t="s">
        <v>1178</v>
      </c>
      <c r="C138" s="163" t="s">
        <v>6391</v>
      </c>
      <c r="D138" s="163"/>
      <c r="E138" s="163"/>
      <c r="F138" s="163"/>
      <c r="G138" s="163"/>
      <c r="H138" s="163"/>
      <c r="I138" s="4332"/>
      <c r="J138" s="4333"/>
      <c r="K138" s="4333"/>
      <c r="L138" s="4334"/>
      <c r="M138" s="72">
        <v>2</v>
      </c>
      <c r="N138" s="421" t="s">
        <v>1178</v>
      </c>
      <c r="O138" s="2573"/>
      <c r="P138" s="3001"/>
      <c r="Q138" s="895" t="str">
        <f>IF(OR($O138=$M138,$O138=0,$O138=""),"","*CHECK!*")</f>
        <v/>
      </c>
      <c r="R138" s="892" t="s">
        <v>4263</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177" t="s">
        <v>6961</v>
      </c>
      <c r="B142" s="4178"/>
      <c r="C142" s="4178"/>
      <c r="D142" s="4178"/>
      <c r="E142" s="4178"/>
      <c r="F142" s="4178"/>
      <c r="G142" s="4178"/>
      <c r="H142" s="4178"/>
      <c r="I142" s="4178"/>
      <c r="J142" s="4178"/>
      <c r="K142" s="4178"/>
      <c r="L142" s="4178"/>
      <c r="M142" s="4178"/>
      <c r="N142" s="4178"/>
      <c r="O142" s="4178"/>
      <c r="P142" s="4179"/>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3"/>
      <c r="B144" s="3954"/>
      <c r="C144" s="3954"/>
      <c r="D144" s="3954"/>
      <c r="E144" s="3954"/>
      <c r="F144" s="3954"/>
      <c r="G144" s="3954"/>
      <c r="H144" s="3954"/>
      <c r="I144" s="3954"/>
      <c r="J144" s="3954"/>
      <c r="K144" s="3954"/>
      <c r="L144" s="3954"/>
      <c r="M144" s="3954"/>
      <c r="N144" s="3954"/>
      <c r="O144" s="3954"/>
      <c r="P144" s="3955"/>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6393</v>
      </c>
      <c r="C147" s="2653"/>
      <c r="D147" s="2653"/>
      <c r="E147" s="2653"/>
      <c r="G147" s="1707" t="s">
        <v>3986</v>
      </c>
      <c r="H147" s="1708" t="str">
        <f>'Part I-Project Information'!$H$77</f>
        <v>HFOP</v>
      </c>
      <c r="M147" s="777">
        <v>3</v>
      </c>
      <c r="N147" s="74"/>
      <c r="O147" s="2574">
        <v>1</v>
      </c>
      <c r="P147" s="3002"/>
      <c r="Q147" s="1295" t="str">
        <f>IF(OR($O147&lt;=$M147,$O147=0,$O147=""),"","*CHECK!*")</f>
        <v/>
      </c>
      <c r="R147" s="1690" t="s">
        <v>422</v>
      </c>
      <c r="S147" s="892" t="s">
        <v>4263</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424" t="s">
        <v>6572</v>
      </c>
      <c r="I149" s="4424"/>
      <c r="J149" s="4424"/>
      <c r="K149" s="4424" t="s">
        <v>6573</v>
      </c>
      <c r="L149" s="4424"/>
      <c r="M149" s="2561"/>
      <c r="N149" s="27"/>
    </row>
    <row r="150" spans="1:19" ht="12" customHeight="1">
      <c r="B150" s="2580"/>
      <c r="C150" s="2580"/>
      <c r="D150" s="2580"/>
      <c r="E150" s="2580"/>
      <c r="H150" s="4424"/>
      <c r="I150" s="4424"/>
      <c r="J150" s="4424"/>
      <c r="K150" s="4424"/>
      <c r="L150" s="4424"/>
      <c r="M150" s="2561"/>
      <c r="N150" s="27"/>
    </row>
    <row r="151" spans="1:19" ht="12" customHeight="1">
      <c r="B151" s="2561"/>
      <c r="C151" s="2581" t="s">
        <v>6838</v>
      </c>
      <c r="D151" s="1674"/>
      <c r="E151" s="2561"/>
      <c r="H151" s="4424"/>
      <c r="I151" s="4424"/>
      <c r="J151" s="4424"/>
      <c r="K151" s="4424"/>
      <c r="L151" s="4424"/>
      <c r="M151" s="2561"/>
      <c r="N151" s="27"/>
    </row>
    <row r="152" spans="1:19">
      <c r="B152" s="2582"/>
      <c r="C152" s="4339" t="s">
        <v>6981</v>
      </c>
      <c r="D152" s="4340"/>
      <c r="E152" s="4340"/>
      <c r="F152" s="4340"/>
      <c r="G152" s="4341"/>
      <c r="H152" s="4256" t="s">
        <v>2769</v>
      </c>
      <c r="I152" s="4256"/>
      <c r="J152" s="4256"/>
      <c r="K152" s="4256" t="s">
        <v>2769</v>
      </c>
      <c r="L152" s="4256"/>
      <c r="M152" s="2958"/>
      <c r="N152" s="27"/>
    </row>
    <row r="153" spans="1:19">
      <c r="B153" s="2582"/>
      <c r="C153" s="4336" t="s">
        <v>6982</v>
      </c>
      <c r="D153" s="4337"/>
      <c r="E153" s="4337"/>
      <c r="F153" s="4337"/>
      <c r="G153" s="4338"/>
      <c r="H153" s="4176" t="s">
        <v>2769</v>
      </c>
      <c r="I153" s="4176"/>
      <c r="J153" s="4176"/>
      <c r="K153" s="4176" t="s">
        <v>2772</v>
      </c>
      <c r="L153" s="4176"/>
      <c r="M153" s="2953"/>
      <c r="N153" s="27"/>
    </row>
    <row r="154" spans="1:19" ht="15">
      <c r="B154" s="2582"/>
      <c r="C154" s="4336" t="s">
        <v>6983</v>
      </c>
      <c r="D154" s="4337"/>
      <c r="E154" s="4337"/>
      <c r="F154" s="4337"/>
      <c r="G154" s="4338"/>
      <c r="H154" s="4176" t="s">
        <v>2769</v>
      </c>
      <c r="I154" s="4176"/>
      <c r="J154" s="4176"/>
      <c r="K154" s="4176" t="s">
        <v>2772</v>
      </c>
      <c r="L154" s="4176"/>
      <c r="M154" s="2953"/>
      <c r="N154" s="2561"/>
    </row>
    <row r="155" spans="1:19" ht="15">
      <c r="B155" s="2582"/>
      <c r="C155" s="4336"/>
      <c r="D155" s="4337"/>
      <c r="E155" s="4337"/>
      <c r="F155" s="4337"/>
      <c r="G155" s="4338"/>
      <c r="H155" s="4176"/>
      <c r="I155" s="4176"/>
      <c r="J155" s="4176"/>
      <c r="K155" s="4176"/>
      <c r="L155" s="4176"/>
      <c r="M155" s="2953"/>
      <c r="N155" s="2561"/>
    </row>
    <row r="156" spans="1:19" ht="15">
      <c r="B156" s="2582"/>
      <c r="C156" s="4336"/>
      <c r="D156" s="4337"/>
      <c r="E156" s="4337"/>
      <c r="F156" s="4337"/>
      <c r="G156" s="4338"/>
      <c r="H156" s="4176"/>
      <c r="I156" s="4176"/>
      <c r="J156" s="4176"/>
      <c r="K156" s="4176"/>
      <c r="L156" s="4176"/>
      <c r="M156" s="2953"/>
      <c r="N156" s="2561"/>
    </row>
    <row r="157" spans="1:19" ht="15">
      <c r="B157" s="2582"/>
      <c r="C157" s="4173"/>
      <c r="D157" s="4174"/>
      <c r="E157" s="4174"/>
      <c r="F157" s="4174"/>
      <c r="G157" s="4175"/>
      <c r="H157" s="4360"/>
      <c r="I157" s="4360"/>
      <c r="J157" s="4360"/>
      <c r="K157" s="4360"/>
      <c r="L157" s="4360"/>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177" t="s">
        <v>6984</v>
      </c>
      <c r="B159" s="4178"/>
      <c r="C159" s="4178"/>
      <c r="D159" s="4178"/>
      <c r="E159" s="4178"/>
      <c r="F159" s="4178"/>
      <c r="G159" s="4178"/>
      <c r="H159" s="4178"/>
      <c r="I159" s="4178"/>
      <c r="J159" s="4178"/>
      <c r="K159" s="4178"/>
      <c r="L159" s="4178"/>
      <c r="M159" s="4178"/>
      <c r="N159" s="4178"/>
      <c r="O159" s="4178"/>
      <c r="P159" s="4179"/>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1"/>
      <c r="B161" s="4002"/>
      <c r="C161" s="4002"/>
      <c r="D161" s="4002"/>
      <c r="E161" s="4002"/>
      <c r="F161" s="4002"/>
      <c r="G161" s="4002"/>
      <c r="H161" s="4002"/>
      <c r="I161" s="4002"/>
      <c r="J161" s="4002"/>
      <c r="K161" s="4002"/>
      <c r="L161" s="4002"/>
      <c r="M161" s="4002"/>
      <c r="N161" s="4002"/>
      <c r="O161" s="4002"/>
      <c r="P161" s="4003"/>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0">
        <v>7</v>
      </c>
      <c r="N163" s="7"/>
      <c r="O163" s="1735">
        <f>O165+O178</f>
        <v>7</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v>2</v>
      </c>
      <c r="P166" s="3003"/>
      <c r="Q166" s="1295" t="str">
        <f>IF(OR($O166=$M166,$O166=0,$O166=""),"","*CHECK!*")</f>
        <v/>
      </c>
      <c r="R166" s="892" t="s">
        <v>4263</v>
      </c>
      <c r="S166" s="1712"/>
      <c r="T166" s="1712"/>
      <c r="U166" s="1712"/>
    </row>
    <row r="167" spans="1:26" s="383" customFormat="1" ht="12" customHeight="1">
      <c r="B167" s="903" t="s">
        <v>2324</v>
      </c>
      <c r="C167" s="4361" t="s">
        <v>6424</v>
      </c>
      <c r="D167" s="4361"/>
      <c r="E167" s="4361"/>
      <c r="F167" s="4361"/>
      <c r="G167" s="4361"/>
      <c r="H167" s="4361"/>
      <c r="I167" s="4361"/>
      <c r="J167" s="4361"/>
      <c r="K167" s="4361"/>
      <c r="L167" s="903"/>
      <c r="M167" s="4369" t="s">
        <v>6301</v>
      </c>
      <c r="N167" s="4369"/>
      <c r="O167" s="4369"/>
      <c r="P167" s="4369"/>
      <c r="S167" s="1712"/>
      <c r="T167" s="1712"/>
      <c r="U167" s="1712"/>
      <c r="V167" s="1408"/>
      <c r="W167" s="1408"/>
      <c r="X167" s="1408"/>
      <c r="Y167" s="1408"/>
      <c r="Z167" s="1408"/>
    </row>
    <row r="168" spans="1:26" s="43" customFormat="1" ht="12.75" customHeight="1">
      <c r="A168" s="364"/>
      <c r="B168" s="366"/>
      <c r="C168" s="4361"/>
      <c r="D168" s="4361"/>
      <c r="E168" s="4361"/>
      <c r="F168" s="4361"/>
      <c r="G168" s="4361"/>
      <c r="H168" s="4361"/>
      <c r="I168" s="4361"/>
      <c r="J168" s="4361"/>
      <c r="K168" s="4361"/>
      <c r="L168" s="903" t="s">
        <v>2324</v>
      </c>
      <c r="M168" s="4365" t="s">
        <v>6985</v>
      </c>
      <c r="N168" s="4366"/>
      <c r="O168" s="4366"/>
      <c r="P168" s="4367"/>
      <c r="S168" s="1712"/>
      <c r="T168" s="1712"/>
      <c r="U168" s="1712"/>
    </row>
    <row r="169" spans="1:26" s="33" customFormat="1" ht="12.75" customHeight="1">
      <c r="B169" s="366" t="s">
        <v>2325</v>
      </c>
      <c r="C169" s="133" t="s">
        <v>4157</v>
      </c>
      <c r="D169" s="463"/>
      <c r="E169" s="463"/>
      <c r="F169" s="463"/>
      <c r="G169" s="463"/>
      <c r="H169" s="463"/>
      <c r="L169" s="366" t="s">
        <v>2325</v>
      </c>
      <c r="M169" s="4362" t="s">
        <v>6986</v>
      </c>
      <c r="N169" s="4363"/>
      <c r="O169" s="4363"/>
      <c r="P169" s="4364"/>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362" t="s">
        <v>6985</v>
      </c>
      <c r="N170" s="4363"/>
      <c r="O170" s="4363"/>
      <c r="P170" s="4364"/>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357" t="s">
        <v>6987</v>
      </c>
      <c r="N171" s="4358"/>
      <c r="O171" s="4358"/>
      <c r="P171" s="435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368" t="s">
        <v>6430</v>
      </c>
      <c r="D174" s="4368"/>
      <c r="E174" s="4368"/>
      <c r="F174" s="4368"/>
      <c r="G174" s="4368"/>
      <c r="H174" s="4368"/>
      <c r="I174" s="4368"/>
      <c r="J174" s="4368"/>
      <c r="K174" s="4368"/>
      <c r="L174" s="4368"/>
      <c r="M174" s="971">
        <v>1</v>
      </c>
      <c r="N174" s="903" t="s">
        <v>4283</v>
      </c>
      <c r="O174" s="2585">
        <v>1</v>
      </c>
      <c r="P174" s="3004"/>
      <c r="Q174" s="1295" t="str">
        <f>IF(OR($O174=$M174,$O174=0,$O174=""),"","*CHECK!*")</f>
        <v/>
      </c>
      <c r="R174" s="892" t="s">
        <v>4263</v>
      </c>
    </row>
    <row r="175" spans="1:26" ht="36.75" customHeight="1">
      <c r="A175" s="478"/>
      <c r="B175" s="379" t="s">
        <v>2325</v>
      </c>
      <c r="C175" s="4368" t="s">
        <v>6431</v>
      </c>
      <c r="D175" s="4368"/>
      <c r="E175" s="4368"/>
      <c r="F175" s="4368"/>
      <c r="G175" s="4368"/>
      <c r="H175" s="4368"/>
      <c r="I175" s="4368"/>
      <c r="J175" s="4368"/>
      <c r="K175" s="4368"/>
      <c r="L175" s="4368"/>
      <c r="M175" s="971">
        <v>1</v>
      </c>
      <c r="N175" s="903" t="s">
        <v>6563</v>
      </c>
      <c r="O175" s="2586">
        <v>1</v>
      </c>
      <c r="P175" s="3005"/>
      <c r="Q175" s="1295" t="str">
        <f>IF(OR($O175=$M175,$O175=0,$O175=""),"","*CHECK!*")</f>
        <v/>
      </c>
      <c r="R175" s="892" t="s">
        <v>4263</v>
      </c>
    </row>
    <row r="176" spans="1:26" ht="12" customHeight="1">
      <c r="A176" s="478"/>
      <c r="B176" s="366" t="s">
        <v>2326</v>
      </c>
      <c r="C176" s="898" t="s">
        <v>6565</v>
      </c>
      <c r="D176" s="902"/>
      <c r="E176" s="902"/>
      <c r="F176" s="902"/>
      <c r="G176" s="902"/>
      <c r="H176" s="902"/>
      <c r="I176" s="902"/>
      <c r="J176" s="902"/>
      <c r="K176" s="902"/>
      <c r="L176" s="902"/>
      <c r="M176" s="2662">
        <v>1</v>
      </c>
      <c r="N176" s="378" t="s">
        <v>6564</v>
      </c>
      <c r="O176" s="2587">
        <v>1</v>
      </c>
      <c r="P176" s="3006"/>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v>2</v>
      </c>
      <c r="P178" s="3007"/>
      <c r="Q178" s="895" t="str">
        <f>IF(OR($O178=$M178,$O178=0,$O178=""),"","*CHECK!*")</f>
        <v/>
      </c>
      <c r="R178" s="892" t="s">
        <v>4263</v>
      </c>
    </row>
    <row r="179" spans="1:23" s="101" customFormat="1" ht="10.5" customHeight="1" thickBot="1">
      <c r="A179" s="42"/>
      <c r="B179" s="1007" t="s">
        <v>3373</v>
      </c>
      <c r="C179" s="42"/>
      <c r="D179" s="48"/>
      <c r="E179" s="48"/>
      <c r="F179" s="48"/>
      <c r="G179" s="48"/>
      <c r="H179" s="36"/>
      <c r="I179" s="36"/>
      <c r="J179" s="36"/>
      <c r="K179" s="36"/>
      <c r="M179" s="46"/>
      <c r="N179" s="6"/>
      <c r="O179" s="3"/>
      <c r="P179" s="2650"/>
    </row>
    <row r="180" spans="1:23" s="43" customFormat="1" ht="100.15" customHeight="1" thickTop="1" thickBot="1">
      <c r="A180" s="4177" t="s">
        <v>6962</v>
      </c>
      <c r="B180" s="4178"/>
      <c r="C180" s="4178"/>
      <c r="D180" s="4178"/>
      <c r="E180" s="4178"/>
      <c r="F180" s="4178"/>
      <c r="G180" s="4178"/>
      <c r="H180" s="4178"/>
      <c r="I180" s="4178"/>
      <c r="J180" s="4178"/>
      <c r="K180" s="4178"/>
      <c r="L180" s="4178"/>
      <c r="M180" s="4178"/>
      <c r="N180" s="4178"/>
      <c r="O180" s="4178"/>
      <c r="P180" s="4179"/>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1"/>
      <c r="B182" s="4002"/>
      <c r="C182" s="4002"/>
      <c r="D182" s="4002"/>
      <c r="E182" s="4002"/>
      <c r="F182" s="4002"/>
      <c r="G182" s="4002"/>
      <c r="H182" s="4002"/>
      <c r="I182" s="4002"/>
      <c r="J182" s="4002"/>
      <c r="K182" s="4002"/>
      <c r="L182" s="4002"/>
      <c r="M182" s="4002"/>
      <c r="N182" s="4002"/>
      <c r="O182" s="4002"/>
      <c r="P182" s="4003"/>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3487</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3827</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t="s">
        <v>2769</v>
      </c>
      <c r="P185" s="3008"/>
      <c r="Q185" s="108"/>
      <c r="R185" s="1713"/>
      <c r="S185" s="1713"/>
      <c r="T185" s="1713"/>
      <c r="U185" s="1713"/>
    </row>
    <row r="186" spans="1:23" s="43" customFormat="1" ht="13.5" customHeight="1">
      <c r="A186" s="151"/>
      <c r="B186" s="2588" t="s">
        <v>6550</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44"/>
    </row>
    <row r="188" spans="1:23" s="1407" customFormat="1" ht="12.75" customHeight="1">
      <c r="B188" s="423" t="s">
        <v>1896</v>
      </c>
      <c r="C188" s="4361" t="s">
        <v>6466</v>
      </c>
      <c r="D188" s="4361"/>
      <c r="E188" s="4361"/>
      <c r="F188" s="4361"/>
      <c r="G188" s="4361"/>
      <c r="H188" s="4361"/>
      <c r="I188" s="4361"/>
      <c r="J188" s="4361"/>
      <c r="K188" s="4361"/>
      <c r="L188" s="4361"/>
      <c r="M188" s="966" t="s">
        <v>719</v>
      </c>
      <c r="N188" s="381" t="s">
        <v>1896</v>
      </c>
      <c r="O188" s="2502" t="s">
        <v>2769</v>
      </c>
      <c r="P188" s="2967"/>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9" t="s">
        <v>2769</v>
      </c>
      <c r="P189" s="2953"/>
      <c r="Q189" s="901"/>
      <c r="V189" s="1008"/>
      <c r="W189" s="1008"/>
    </row>
    <row r="190" spans="1:23" s="33" customFormat="1" ht="22.5" customHeight="1">
      <c r="A190" s="478"/>
      <c r="B190" s="423" t="s">
        <v>2416</v>
      </c>
      <c r="C190" s="4368" t="s">
        <v>6470</v>
      </c>
      <c r="D190" s="4368"/>
      <c r="E190" s="4368"/>
      <c r="F190" s="4368"/>
      <c r="G190" s="4368"/>
      <c r="H190" s="4368"/>
      <c r="I190" s="4368"/>
      <c r="J190" s="4368"/>
      <c r="K190" s="4368"/>
      <c r="L190" s="4368"/>
      <c r="M190" s="899"/>
      <c r="N190" s="381" t="s">
        <v>2416</v>
      </c>
      <c r="O190" s="2665" t="s">
        <v>2769</v>
      </c>
      <c r="P190" s="2962"/>
      <c r="Q190" s="901"/>
      <c r="V190" s="1008"/>
      <c r="W190" s="1008"/>
    </row>
    <row r="191" spans="1:23" ht="11.45" customHeight="1">
      <c r="A191" s="137" t="s">
        <v>2021</v>
      </c>
      <c r="B191" s="175" t="s">
        <v>6468</v>
      </c>
      <c r="D191" s="33"/>
      <c r="G191" s="449"/>
      <c r="N191" s="27"/>
      <c r="O191" s="485"/>
      <c r="P191" s="485"/>
      <c r="Q191" s="2644"/>
    </row>
    <row r="192" spans="1:23" s="1407" customFormat="1" ht="23.25" customHeight="1">
      <c r="B192" s="423" t="s">
        <v>1896</v>
      </c>
      <c r="C192" s="4361" t="s">
        <v>6471</v>
      </c>
      <c r="D192" s="4361"/>
      <c r="E192" s="4361"/>
      <c r="F192" s="4361"/>
      <c r="G192" s="4361"/>
      <c r="H192" s="4361"/>
      <c r="I192" s="4361"/>
      <c r="J192" s="4361"/>
      <c r="K192" s="4361"/>
      <c r="L192" s="4361"/>
      <c r="M192" s="966" t="s">
        <v>2021</v>
      </c>
      <c r="N192" s="381" t="s">
        <v>1896</v>
      </c>
      <c r="O192" s="2502" t="s">
        <v>2769</v>
      </c>
      <c r="P192" s="2967"/>
      <c r="Q192" s="1013"/>
      <c r="V192" s="1669"/>
      <c r="W192" s="1669"/>
    </row>
    <row r="193" spans="1:24" s="33" customFormat="1" ht="23.25" customHeight="1">
      <c r="A193" s="478"/>
      <c r="B193" s="423" t="s">
        <v>1898</v>
      </c>
      <c r="C193" s="4368" t="s">
        <v>6551</v>
      </c>
      <c r="D193" s="4368"/>
      <c r="E193" s="4368"/>
      <c r="F193" s="4368"/>
      <c r="G193" s="4368"/>
      <c r="H193" s="4368"/>
      <c r="I193" s="4368"/>
      <c r="J193" s="4368"/>
      <c r="K193" s="4368"/>
      <c r="L193" s="4368"/>
      <c r="M193" s="848"/>
      <c r="N193" s="381" t="s">
        <v>1898</v>
      </c>
      <c r="O193" s="2665" t="s">
        <v>2769</v>
      </c>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75" customHeight="1" thickTop="1" thickBot="1">
      <c r="A195" s="4372" t="s">
        <v>7007</v>
      </c>
      <c r="B195" s="4373"/>
      <c r="C195" s="4373"/>
      <c r="D195" s="4373"/>
      <c r="E195" s="4373"/>
      <c r="F195" s="4373"/>
      <c r="G195" s="4373"/>
      <c r="H195" s="4373"/>
      <c r="I195" s="4373"/>
      <c r="J195" s="4373"/>
      <c r="K195" s="4373"/>
      <c r="L195" s="4373"/>
      <c r="M195" s="4373"/>
      <c r="N195" s="4373"/>
      <c r="O195" s="4373"/>
      <c r="P195" s="4374"/>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293"/>
      <c r="B197" s="4294"/>
      <c r="C197" s="4294"/>
      <c r="D197" s="4294"/>
      <c r="E197" s="4294"/>
      <c r="F197" s="4294"/>
      <c r="G197" s="4294"/>
      <c r="H197" s="4294"/>
      <c r="I197" s="4294"/>
      <c r="J197" s="4294"/>
      <c r="K197" s="4294"/>
      <c r="L197" s="4294"/>
      <c r="M197" s="4294"/>
      <c r="N197" s="4294"/>
      <c r="O197" s="4294"/>
      <c r="P197" s="4295"/>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0</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c r="P201" s="3007"/>
      <c r="Q201" s="1295" t="str">
        <f>IF(O201&lt;=M201,"","*CHECK!*")</f>
        <v/>
      </c>
      <c r="R201" s="892" t="s">
        <v>4263</v>
      </c>
      <c r="S201" s="1714"/>
      <c r="T201" s="1714"/>
      <c r="U201" s="1714"/>
    </row>
    <row r="202" spans="1:24" ht="12.75" customHeight="1">
      <c r="B202" s="2589"/>
      <c r="C202" s="133" t="s">
        <v>6552</v>
      </c>
      <c r="D202" s="2590"/>
      <c r="E202" s="2591"/>
      <c r="F202" s="2591"/>
      <c r="G202" s="2590"/>
      <c r="H202" s="2590"/>
      <c r="I202" s="2590"/>
      <c r="J202" s="4398"/>
      <c r="K202" s="4399"/>
      <c r="L202" s="4400"/>
      <c r="M202" s="4401"/>
      <c r="N202" s="967"/>
      <c r="R202" s="416"/>
      <c r="S202" s="2590"/>
    </row>
    <row r="203" spans="1:24" ht="12.75" customHeight="1">
      <c r="C203" s="2592" t="s">
        <v>6553</v>
      </c>
      <c r="D203" s="418"/>
      <c r="J203" s="4395"/>
      <c r="K203" s="4396"/>
      <c r="L203" s="4396"/>
      <c r="M203" s="439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6534</v>
      </c>
      <c r="H205" s="2593" t="s">
        <v>6506</v>
      </c>
      <c r="K205" s="378"/>
      <c r="L205" s="378"/>
      <c r="M205" s="967">
        <v>5</v>
      </c>
      <c r="N205" s="378" t="s">
        <v>1895</v>
      </c>
      <c r="O205" s="2573"/>
      <c r="P205" s="3007"/>
      <c r="Q205" s="1295" t="str">
        <f>IF(O205&lt;=M205,"","*CHECK!*")</f>
        <v/>
      </c>
      <c r="R205" s="892" t="s">
        <v>4263</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394" t="s">
        <v>6477</v>
      </c>
      <c r="G207" s="4394"/>
      <c r="H207" s="4394"/>
      <c r="I207" s="4394"/>
      <c r="J207" s="4394"/>
      <c r="K207" s="4394"/>
      <c r="L207" s="4394"/>
      <c r="M207" s="418"/>
      <c r="N207" s="27"/>
      <c r="O207" s="27"/>
      <c r="P207" s="27"/>
    </row>
    <row r="208" spans="1:24" ht="13.5" customHeight="1">
      <c r="B208" s="484"/>
      <c r="C208" s="418"/>
      <c r="D208" s="133" t="s">
        <v>6475</v>
      </c>
      <c r="E208" s="133"/>
      <c r="F208" s="4385"/>
      <c r="G208" s="4386"/>
      <c r="H208" s="4386"/>
      <c r="I208" s="4387"/>
      <c r="J208" s="4391"/>
      <c r="K208" s="4392"/>
      <c r="L208" s="4392"/>
      <c r="M208" s="4393"/>
      <c r="N208" s="27"/>
    </row>
    <row r="209" spans="1:22" ht="13.5" customHeight="1">
      <c r="C209" s="418"/>
      <c r="D209" s="133" t="s">
        <v>6476</v>
      </c>
      <c r="E209" s="133"/>
      <c r="F209" s="4381"/>
      <c r="G209" s="4382"/>
      <c r="H209" s="4382"/>
      <c r="I209" s="4383"/>
      <c r="J209" s="4348"/>
      <c r="K209" s="4349"/>
      <c r="L209" s="4349"/>
      <c r="M209" s="4350"/>
      <c r="N209" s="2599" t="str">
        <f>IF(P205&lt;=N205,"","*CHECK!*")</f>
        <v/>
      </c>
    </row>
    <row r="210" spans="1:22" ht="13.5" customHeight="1">
      <c r="B210" s="484"/>
      <c r="C210" s="418"/>
      <c r="D210" s="133" t="s">
        <v>6473</v>
      </c>
      <c r="E210" s="133"/>
      <c r="F210" s="4381"/>
      <c r="G210" s="4382"/>
      <c r="H210" s="4382"/>
      <c r="I210" s="4383"/>
      <c r="J210" s="4348"/>
      <c r="K210" s="4349"/>
      <c r="L210" s="4349"/>
      <c r="M210" s="4350"/>
      <c r="N210" s="27"/>
    </row>
    <row r="211" spans="1:22" ht="13.5" customHeight="1">
      <c r="B211" s="418"/>
      <c r="C211" s="418"/>
      <c r="D211" s="133" t="s">
        <v>6474</v>
      </c>
      <c r="E211" s="133"/>
      <c r="F211" s="4378"/>
      <c r="G211" s="4379"/>
      <c r="H211" s="4379"/>
      <c r="I211" s="4380"/>
      <c r="J211" s="4345"/>
      <c r="K211" s="4346"/>
      <c r="L211" s="4346"/>
      <c r="M211" s="434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177" t="s">
        <v>931</v>
      </c>
      <c r="B215" s="4178"/>
      <c r="C215" s="4178"/>
      <c r="D215" s="4178"/>
      <c r="E215" s="4178"/>
      <c r="F215" s="4178"/>
      <c r="G215" s="4178"/>
      <c r="H215" s="4178"/>
      <c r="I215" s="4178"/>
      <c r="J215" s="4178"/>
      <c r="K215" s="4178"/>
      <c r="L215" s="4178"/>
      <c r="M215" s="4178"/>
      <c r="N215" s="4178"/>
      <c r="O215" s="4178"/>
      <c r="P215" s="4179"/>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293"/>
      <c r="B218" s="4294"/>
      <c r="C218" s="4294"/>
      <c r="D218" s="4294"/>
      <c r="E218" s="4294"/>
      <c r="F218" s="4294"/>
      <c r="G218" s="4294"/>
      <c r="H218" s="4294"/>
      <c r="I218" s="4294"/>
      <c r="J218" s="4294"/>
      <c r="K218" s="4294"/>
      <c r="L218" s="4294"/>
      <c r="M218" s="4294"/>
      <c r="N218" s="4294"/>
      <c r="O218" s="4294"/>
      <c r="P218" s="4295"/>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4237</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2" t="s">
        <v>3274</v>
      </c>
      <c r="H221" s="1277">
        <f>IF('Part VI-Revenues &amp; Expenses'!$P$67=0,0,'Part VI-Revenues &amp; Expenses'!$P$64/'Part VI-Revenues &amp; Expenses'!$P$67)</f>
        <v>0</v>
      </c>
      <c r="J221" s="449" t="s">
        <v>4160</v>
      </c>
      <c r="K221" s="4271" t="str">
        <f>'Part I-Project Information'!$K$94</f>
        <v>Income Averaging</v>
      </c>
      <c r="L221" s="4272"/>
      <c r="M221" s="60"/>
      <c r="N221" s="777"/>
      <c r="O221" s="2652"/>
      <c r="P221" s="3"/>
    </row>
    <row r="222" spans="1:22" ht="12" customHeight="1">
      <c r="A222" s="1401" t="s">
        <v>1893</v>
      </c>
      <c r="B222" s="1404" t="s">
        <v>4158</v>
      </c>
      <c r="C222" s="404"/>
      <c r="D222" s="418" t="s">
        <v>4159</v>
      </c>
      <c r="M222" s="72">
        <v>1</v>
      </c>
      <c r="N222" s="439" t="s">
        <v>1893</v>
      </c>
      <c r="O222" s="2600"/>
      <c r="P222" s="3009"/>
      <c r="Q222" s="895" t="str">
        <f>IF(OR($O222=$M222,$O222=0,$O222=""),"","*CHECK!*")</f>
        <v/>
      </c>
      <c r="R222" s="892" t="s">
        <v>4263</v>
      </c>
    </row>
    <row r="223" spans="1:22" ht="12" customHeight="1">
      <c r="A223" s="1401" t="s">
        <v>1895</v>
      </c>
      <c r="B223" s="1404" t="s">
        <v>3976</v>
      </c>
      <c r="C223" s="404"/>
      <c r="D223" s="418" t="s">
        <v>4242</v>
      </c>
      <c r="M223" s="80">
        <v>1</v>
      </c>
      <c r="N223" s="439" t="s">
        <v>1895</v>
      </c>
      <c r="O223" s="2564">
        <v>1</v>
      </c>
      <c r="P223" s="2990"/>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293"/>
      <c r="B226" s="4294"/>
      <c r="C226" s="4294"/>
      <c r="D226" s="4294"/>
      <c r="E226" s="4294"/>
      <c r="F226" s="4294"/>
      <c r="G226" s="4294"/>
      <c r="H226" s="4294"/>
      <c r="I226" s="4294"/>
      <c r="J226" s="4294"/>
      <c r="K226" s="4294"/>
      <c r="L226" s="4294"/>
      <c r="M226" s="4294"/>
      <c r="N226" s="4294"/>
      <c r="O226" s="4294"/>
      <c r="P226" s="4295"/>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376"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3398</v>
      </c>
      <c r="D231" s="558"/>
      <c r="L231" s="904"/>
      <c r="M231" s="4376"/>
      <c r="N231" s="439" t="s">
        <v>1895</v>
      </c>
      <c r="O231" s="2668"/>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7" t="s">
        <v>931</v>
      </c>
      <c r="B233" s="4178"/>
      <c r="C233" s="4178"/>
      <c r="D233" s="4178"/>
      <c r="E233" s="4178"/>
      <c r="F233" s="4178"/>
      <c r="G233" s="4178"/>
      <c r="H233" s="4178"/>
      <c r="I233" s="4178"/>
      <c r="J233" s="4178"/>
      <c r="K233" s="4178"/>
      <c r="L233" s="4178"/>
      <c r="M233" s="4178"/>
      <c r="N233" s="4178"/>
      <c r="O233" s="4178"/>
      <c r="P233" s="4179"/>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293"/>
      <c r="B235" s="4294"/>
      <c r="C235" s="4294"/>
      <c r="D235" s="4294"/>
      <c r="E235" s="4294"/>
      <c r="F235" s="4294"/>
      <c r="G235" s="4294"/>
      <c r="H235" s="4294"/>
      <c r="I235" s="4294"/>
      <c r="J235" s="4294"/>
      <c r="K235" s="4294"/>
      <c r="L235" s="4294"/>
      <c r="M235" s="4294"/>
      <c r="N235" s="4294"/>
      <c r="O235" s="4294"/>
      <c r="P235" s="4295"/>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4239</v>
      </c>
      <c r="D237" s="41"/>
      <c r="E237" s="41"/>
      <c r="F237" s="41"/>
      <c r="G237" s="41"/>
      <c r="H237" s="41"/>
      <c r="I237" s="41"/>
      <c r="J237" s="41"/>
      <c r="K237" s="41"/>
      <c r="L237" s="41"/>
      <c r="M237" s="2650">
        <v>3</v>
      </c>
      <c r="N237" s="6"/>
      <c r="O237" s="944"/>
      <c r="P237" s="965"/>
      <c r="Q237" s="108" t="s">
        <v>422</v>
      </c>
      <c r="R237" s="892" t="s">
        <v>4263</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c r="H239" s="378" t="s">
        <v>587</v>
      </c>
      <c r="I239" s="4335"/>
      <c r="J239" s="4335"/>
      <c r="L239" s="2602" t="s">
        <v>6557</v>
      </c>
      <c r="M239" s="4180"/>
      <c r="N239" s="4180"/>
    </row>
    <row r="240" spans="1:27" s="116" customFormat="1" ht="11.25" customHeight="1">
      <c r="A240" s="365"/>
      <c r="B240" s="423" t="s">
        <v>1898</v>
      </c>
      <c r="C240" s="133" t="s">
        <v>6556</v>
      </c>
      <c r="E240" s="419" t="s">
        <v>3453</v>
      </c>
      <c r="G240" s="2603"/>
      <c r="H240" s="378" t="s">
        <v>587</v>
      </c>
      <c r="I240" s="4377"/>
      <c r="J240" s="4377"/>
      <c r="L240" s="2602" t="s">
        <v>6557</v>
      </c>
      <c r="M240" s="4384"/>
      <c r="N240" s="4384"/>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177" t="s">
        <v>931</v>
      </c>
      <c r="B243" s="4178"/>
      <c r="C243" s="4178"/>
      <c r="D243" s="4178"/>
      <c r="E243" s="4178"/>
      <c r="F243" s="4178"/>
      <c r="G243" s="4178"/>
      <c r="H243" s="4178"/>
      <c r="I243" s="4178"/>
      <c r="J243" s="4178"/>
      <c r="K243" s="4178"/>
      <c r="L243" s="4178"/>
      <c r="M243" s="4178"/>
      <c r="N243" s="4178"/>
      <c r="O243" s="4178"/>
      <c r="P243" s="4179"/>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1"/>
      <c r="B245" s="4002"/>
      <c r="C245" s="4002"/>
      <c r="D245" s="4002"/>
      <c r="E245" s="4002"/>
      <c r="F245" s="4002"/>
      <c r="G245" s="4002"/>
      <c r="H245" s="4002"/>
      <c r="I245" s="4002"/>
      <c r="J245" s="4002"/>
      <c r="K245" s="4002"/>
      <c r="L245" s="4002"/>
      <c r="M245" s="4002"/>
      <c r="N245" s="4002"/>
      <c r="O245" s="4002"/>
      <c r="P245" s="400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4161</v>
      </c>
      <c r="D247" s="41"/>
      <c r="E247" s="55" t="s">
        <v>6568</v>
      </c>
      <c r="G247" s="61"/>
      <c r="M247" s="2650">
        <v>5</v>
      </c>
      <c r="N247" s="6"/>
      <c r="O247" s="944">
        <f>MIN($M247,MAX(O248,O249,O250))</f>
        <v>3</v>
      </c>
      <c r="P247" s="944">
        <f>MIN($M247,MAX(P248,P249,P250))</f>
        <v>0</v>
      </c>
      <c r="Q247" s="108" t="s">
        <v>422</v>
      </c>
      <c r="R247" s="892" t="s">
        <v>4263</v>
      </c>
      <c r="S247" s="1724"/>
      <c r="T247" s="1724"/>
      <c r="U247" s="1724"/>
      <c r="V247" s="1724"/>
      <c r="W247" s="1495"/>
      <c r="X247" s="1495"/>
    </row>
    <row r="248" spans="1:24" s="33" customFormat="1" ht="11.25" customHeight="1">
      <c r="A248" s="137" t="s">
        <v>1893</v>
      </c>
      <c r="B248" s="175" t="s">
        <v>6567</v>
      </c>
      <c r="D248" s="532"/>
      <c r="M248" s="7">
        <v>5</v>
      </c>
      <c r="N248" s="439" t="s">
        <v>1893</v>
      </c>
      <c r="O248" s="2604"/>
      <c r="P248" s="3010"/>
      <c r="Q248" s="895" t="str">
        <f>IF(OR($O248=$M248,$O248=$M248-1,$O248=0,$O248=""),"","*CHECK!*")</f>
        <v/>
      </c>
      <c r="R248" s="892" t="s">
        <v>4263</v>
      </c>
      <c r="S248" s="1724"/>
      <c r="T248" s="1724"/>
      <c r="U248" s="1724"/>
      <c r="V248" s="1724"/>
    </row>
    <row r="249" spans="1:24" s="33" customFormat="1" ht="11.25" customHeight="1">
      <c r="A249" s="137" t="s">
        <v>1895</v>
      </c>
      <c r="B249" s="175" t="s">
        <v>6569</v>
      </c>
      <c r="D249" s="532"/>
      <c r="M249" s="7">
        <v>3</v>
      </c>
      <c r="N249" s="439" t="s">
        <v>1895</v>
      </c>
      <c r="O249" s="2563">
        <v>3</v>
      </c>
      <c r="P249" s="2989"/>
      <c r="Q249" s="895" t="str">
        <f t="shared" ref="Q249:Q250" si="3">IF(OR($O249=$M249,$O249=$M249-1,$O249=0,$O249=""),"","*CHECK!*")</f>
        <v/>
      </c>
      <c r="R249" s="892" t="s">
        <v>4263</v>
      </c>
    </row>
    <row r="250" spans="1:24">
      <c r="A250" s="137" t="s">
        <v>719</v>
      </c>
      <c r="B250" s="175" t="s">
        <v>6570</v>
      </c>
      <c r="E250" s="40" t="s">
        <v>6497</v>
      </c>
      <c r="I250" s="1406"/>
      <c r="L250" s="1675"/>
      <c r="M250" s="7">
        <v>3</v>
      </c>
      <c r="N250" s="439" t="s">
        <v>719</v>
      </c>
      <c r="O250" s="2564"/>
      <c r="P250" s="2990"/>
      <c r="Q250" s="895" t="str">
        <f t="shared" si="3"/>
        <v/>
      </c>
      <c r="R250" s="892" t="s">
        <v>4263</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177" t="s">
        <v>6963</v>
      </c>
      <c r="B252" s="4178"/>
      <c r="C252" s="4178"/>
      <c r="D252" s="4178"/>
      <c r="E252" s="4178"/>
      <c r="F252" s="4178"/>
      <c r="G252" s="4178"/>
      <c r="H252" s="4178"/>
      <c r="I252" s="4178"/>
      <c r="J252" s="4178"/>
      <c r="K252" s="4178"/>
      <c r="L252" s="4178"/>
      <c r="M252" s="4178"/>
      <c r="N252" s="4178"/>
      <c r="O252" s="4178"/>
      <c r="P252" s="4179"/>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1"/>
      <c r="B254" s="4002"/>
      <c r="C254" s="4002"/>
      <c r="D254" s="4002"/>
      <c r="E254" s="4002"/>
      <c r="F254" s="4002"/>
      <c r="G254" s="4002"/>
      <c r="H254" s="4002"/>
      <c r="I254" s="4002"/>
      <c r="J254" s="4002"/>
      <c r="K254" s="4002"/>
      <c r="L254" s="4002"/>
      <c r="M254" s="4002"/>
      <c r="N254" s="4002"/>
      <c r="O254" s="4002"/>
      <c r="P254" s="4003"/>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7"/>
      <c r="K256" s="48"/>
      <c r="L256" s="439" t="s">
        <v>4264</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9"/>
      <c r="P259" s="2953"/>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68"/>
      <c r="P260" s="2954"/>
      <c r="R260" s="380"/>
      <c r="T260" s="929"/>
      <c r="U260" s="929"/>
    </row>
    <row r="261" spans="1:21" s="43" customFormat="1" ht="11.25" customHeight="1">
      <c r="A261" s="137" t="s">
        <v>1895</v>
      </c>
      <c r="B261" s="163" t="s">
        <v>4152</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7" t="s">
        <v>4153</v>
      </c>
      <c r="C262" s="4007"/>
      <c r="D262" s="4007"/>
      <c r="E262" s="4007"/>
      <c r="F262" s="4007"/>
      <c r="G262" s="4007"/>
      <c r="H262" s="4007"/>
      <c r="I262" s="4007"/>
      <c r="J262" s="4007"/>
      <c r="K262" s="4007"/>
      <c r="L262" s="4007"/>
      <c r="M262" s="7"/>
      <c r="N262" s="439"/>
      <c r="O262" s="2659"/>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4" t="s">
        <v>6498</v>
      </c>
      <c r="C264" s="3964"/>
      <c r="D264" s="3964"/>
      <c r="E264" s="3964"/>
      <c r="F264" s="3964"/>
      <c r="G264" s="3964"/>
      <c r="H264" s="3964"/>
      <c r="I264" s="3964"/>
      <c r="J264" s="3964"/>
      <c r="K264" s="3964"/>
      <c r="L264" s="3964"/>
      <c r="M264" s="7"/>
      <c r="N264" s="439"/>
      <c r="O264" s="2665" t="s">
        <v>2769</v>
      </c>
      <c r="P264" s="2962"/>
      <c r="Q264" s="380"/>
      <c r="R264" s="367"/>
      <c r="T264" s="929"/>
      <c r="U264" s="929"/>
    </row>
    <row r="265" spans="1:21" s="43" customFormat="1" ht="22.5" customHeight="1">
      <c r="B265" s="3964" t="s">
        <v>6499</v>
      </c>
      <c r="C265" s="3964"/>
      <c r="D265" s="3964"/>
      <c r="E265" s="3964"/>
      <c r="F265" s="3964"/>
      <c r="G265" s="3964"/>
      <c r="H265" s="3964"/>
      <c r="I265" s="3964"/>
      <c r="J265" s="3964"/>
      <c r="K265" s="3964"/>
      <c r="L265" s="3964"/>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1"/>
      <c r="B267" s="4002"/>
      <c r="C267" s="4002"/>
      <c r="D267" s="4002"/>
      <c r="E267" s="4002"/>
      <c r="F267" s="4002"/>
      <c r="G267" s="4002"/>
      <c r="H267" s="4002"/>
      <c r="I267" s="4002"/>
      <c r="J267" s="4002"/>
      <c r="K267" s="4002"/>
      <c r="L267" s="4002"/>
      <c r="M267" s="4002"/>
      <c r="N267" s="4002"/>
      <c r="O267" s="4002"/>
      <c r="P267" s="4003"/>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6500</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1893</v>
      </c>
      <c r="B271" s="163" t="s">
        <v>3490</v>
      </c>
      <c r="C271" s="87"/>
      <c r="D271" s="58"/>
      <c r="E271" s="52"/>
      <c r="G271" s="1509">
        <f>'Part VIII-Threshold Criteria'!I380</f>
        <v>0</v>
      </c>
      <c r="I271" s="40" t="s">
        <v>4284</v>
      </c>
      <c r="K271" s="1676" t="str">
        <f>'Part I-Project Information'!H100</f>
        <v>No</v>
      </c>
      <c r="M271" s="72">
        <v>2</v>
      </c>
      <c r="N271" s="439" t="s">
        <v>1893</v>
      </c>
      <c r="P271" s="3012"/>
      <c r="Q271" s="108"/>
      <c r="R271" s="943" t="s">
        <v>2554</v>
      </c>
    </row>
    <row r="272" spans="1:21" s="101" customFormat="1" ht="10.5" customHeight="1">
      <c r="A272" s="137"/>
      <c r="B272" s="365" t="s">
        <v>1896</v>
      </c>
      <c r="C272" s="36" t="s">
        <v>4017</v>
      </c>
      <c r="D272" s="33"/>
      <c r="N272" s="421" t="s">
        <v>4018</v>
      </c>
      <c r="O272" s="2492"/>
      <c r="P272" s="2952"/>
      <c r="R272" s="367"/>
    </row>
    <row r="273" spans="1:19" s="101" customFormat="1" ht="10.5" customHeight="1">
      <c r="A273" s="137"/>
      <c r="B273" s="365"/>
      <c r="C273" s="36" t="s">
        <v>6501</v>
      </c>
      <c r="D273" s="33"/>
      <c r="N273" s="421" t="s">
        <v>4019</v>
      </c>
      <c r="O273" s="2669"/>
      <c r="P273" s="2953"/>
      <c r="R273" s="367"/>
    </row>
    <row r="274" spans="1:19" s="101" customFormat="1" ht="10.5" customHeight="1">
      <c r="A274" s="137"/>
      <c r="B274" s="365" t="s">
        <v>1898</v>
      </c>
      <c r="C274" s="36" t="s">
        <v>3496</v>
      </c>
      <c r="D274" s="33"/>
      <c r="N274" s="779" t="s">
        <v>1898</v>
      </c>
      <c r="O274" s="2669"/>
      <c r="P274" s="2953"/>
      <c r="R274" s="367"/>
    </row>
    <row r="275" spans="1:19" s="101" customFormat="1" ht="10.5" customHeight="1">
      <c r="A275" s="137"/>
      <c r="B275" s="365" t="s">
        <v>2416</v>
      </c>
      <c r="C275" s="36" t="s">
        <v>4020</v>
      </c>
      <c r="D275" s="33"/>
      <c r="N275" s="779" t="s">
        <v>2416</v>
      </c>
      <c r="O275" s="2669"/>
      <c r="P275" s="2953"/>
      <c r="R275" s="367"/>
    </row>
    <row r="276" spans="1:19" s="101" customFormat="1" ht="10.5" customHeight="1">
      <c r="B276" s="365" t="s">
        <v>1178</v>
      </c>
      <c r="C276" s="36" t="s">
        <v>3497</v>
      </c>
      <c r="D276" s="33"/>
      <c r="N276" s="779" t="s">
        <v>1178</v>
      </c>
      <c r="O276" s="2668"/>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4017</v>
      </c>
      <c r="D278" s="52"/>
      <c r="E278" s="52"/>
      <c r="M278" s="2650"/>
      <c r="N278" s="421" t="s">
        <v>4018</v>
      </c>
      <c r="O278" s="2492"/>
      <c r="P278" s="2952"/>
      <c r="Q278" s="108"/>
    </row>
    <row r="279" spans="1:19" s="101" customFormat="1" ht="10.5" customHeight="1">
      <c r="A279" s="137"/>
      <c r="B279" s="365"/>
      <c r="C279" s="36" t="s">
        <v>6502</v>
      </c>
      <c r="D279" s="33"/>
      <c r="N279" s="421" t="s">
        <v>4019</v>
      </c>
      <c r="O279" s="2669"/>
      <c r="P279" s="2953"/>
      <c r="R279" s="367"/>
    </row>
    <row r="280" spans="1:19" s="101" customFormat="1" ht="10.5" customHeight="1">
      <c r="A280" s="137"/>
      <c r="B280" s="365" t="s">
        <v>1898</v>
      </c>
      <c r="C280" s="36" t="s">
        <v>3508</v>
      </c>
      <c r="D280" s="33"/>
      <c r="N280" s="779" t="s">
        <v>1898</v>
      </c>
      <c r="O280" s="2669"/>
      <c r="P280" s="2953"/>
      <c r="R280" s="367"/>
    </row>
    <row r="281" spans="1:19" s="101" customFormat="1" ht="10.5" customHeight="1">
      <c r="B281" s="365" t="s">
        <v>2416</v>
      </c>
      <c r="C281" s="36" t="s">
        <v>3497</v>
      </c>
      <c r="D281" s="33"/>
      <c r="N281" s="779" t="s">
        <v>2416</v>
      </c>
      <c r="O281" s="2668"/>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1"/>
      <c r="B283" s="4002"/>
      <c r="C283" s="4002"/>
      <c r="D283" s="4002"/>
      <c r="E283" s="4002"/>
      <c r="F283" s="4002"/>
      <c r="G283" s="4002"/>
      <c r="H283" s="4002"/>
      <c r="I283" s="4002"/>
      <c r="J283" s="4002"/>
      <c r="K283" s="4002"/>
      <c r="L283" s="4002"/>
      <c r="M283" s="4002"/>
      <c r="N283" s="4002"/>
      <c r="O283" s="4002"/>
      <c r="P283" s="4003"/>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4263</v>
      </c>
      <c r="S286" s="1725"/>
    </row>
    <row r="287" spans="1:19" s="43" customFormat="1" ht="11.25" customHeight="1">
      <c r="A287" s="137"/>
      <c r="B287" s="112" t="s">
        <v>3275</v>
      </c>
      <c r="D287" s="88"/>
      <c r="E287" s="88"/>
      <c r="G287" s="52"/>
      <c r="I287" s="3825" t="s">
        <v>6268</v>
      </c>
      <c r="J287" s="3826"/>
      <c r="K287" s="3826"/>
      <c r="L287" s="3827"/>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0"/>
    </row>
    <row r="290" spans="1:20" s="43" customFormat="1" ht="10.9" customHeight="1" thickTop="1" thickBot="1">
      <c r="A290" s="4177" t="s">
        <v>931</v>
      </c>
      <c r="B290" s="4178"/>
      <c r="C290" s="4178"/>
      <c r="D290" s="4178"/>
      <c r="E290" s="4178"/>
      <c r="F290" s="4178"/>
      <c r="G290" s="4178"/>
      <c r="H290" s="4178"/>
      <c r="I290" s="4178"/>
      <c r="J290" s="4178"/>
      <c r="K290" s="4178"/>
      <c r="L290" s="4178"/>
      <c r="M290" s="4178"/>
      <c r="N290" s="4178"/>
      <c r="O290" s="4178"/>
      <c r="P290" s="4179"/>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1"/>
      <c r="B292" s="4002"/>
      <c r="C292" s="4002"/>
      <c r="D292" s="4002"/>
      <c r="E292" s="4002"/>
      <c r="F292" s="4002"/>
      <c r="G292" s="4002"/>
      <c r="H292" s="4002"/>
      <c r="I292" s="4002"/>
      <c r="J292" s="4002"/>
      <c r="K292" s="4002"/>
      <c r="L292" s="4002"/>
      <c r="M292" s="4002"/>
      <c r="N292" s="4002"/>
      <c r="O292" s="4002"/>
      <c r="P292" s="4003"/>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75" t="str">
        <f>IF(OR(O296="No",O296="",O297="No",O297="",O298="No",O298="",O299="No",O299=""),"Unmet criterion results in no points!","")</f>
        <v>Unmet criterion results in no points!</v>
      </c>
      <c r="M296" s="4375"/>
      <c r="N296" s="366" t="s">
        <v>2324</v>
      </c>
      <c r="O296" s="2492"/>
      <c r="P296" s="2952"/>
      <c r="R296" s="4371" t="str">
        <f>IF(OR(P296="No",P296="",P297="No",P297="",P298="No",P298="",P299="No",P299=""),"Unmet criterion results in no points!","")</f>
        <v>Unmet criterion results in no points!</v>
      </c>
      <c r="S296" s="4371" t="e">
        <f>IF(OR(V296="No",V296="",V297="No",V297="",V298="No",V298="",V299="No",V299="",#REF!="No",#REF!="",#REF!="No",#REF!=""),"Unmet criterion results in no points!","")</f>
        <v>#REF!</v>
      </c>
    </row>
    <row r="297" spans="1:20" s="99" customFormat="1" ht="12.75" customHeight="1">
      <c r="B297" s="366" t="s">
        <v>2325</v>
      </c>
      <c r="C297" s="133" t="s">
        <v>3410</v>
      </c>
      <c r="L297" s="4375"/>
      <c r="M297" s="4375"/>
      <c r="N297" s="366" t="s">
        <v>2325</v>
      </c>
      <c r="O297" s="2669"/>
      <c r="P297" s="2953"/>
      <c r="R297" s="4371"/>
      <c r="S297" s="4371"/>
    </row>
    <row r="298" spans="1:20" s="99" customFormat="1" ht="12.75" customHeight="1">
      <c r="B298" s="366" t="s">
        <v>2326</v>
      </c>
      <c r="C298" s="133" t="s">
        <v>3409</v>
      </c>
      <c r="L298" s="4375"/>
      <c r="M298" s="4375"/>
      <c r="N298" s="366" t="s">
        <v>2326</v>
      </c>
      <c r="O298" s="2669"/>
      <c r="P298" s="2953"/>
      <c r="R298" s="4371"/>
      <c r="S298" s="4371"/>
    </row>
    <row r="299" spans="1:20" s="99" customFormat="1" ht="33.75" customHeight="1">
      <c r="B299" s="379" t="s">
        <v>2327</v>
      </c>
      <c r="C299" s="4368" t="s">
        <v>3995</v>
      </c>
      <c r="D299" s="4368"/>
      <c r="E299" s="4368"/>
      <c r="F299" s="4368"/>
      <c r="G299" s="4368"/>
      <c r="H299" s="4368"/>
      <c r="I299" s="4368"/>
      <c r="J299" s="4368"/>
      <c r="K299" s="4368"/>
      <c r="L299" s="4368"/>
      <c r="M299" s="4368"/>
      <c r="N299" s="379" t="s">
        <v>2327</v>
      </c>
      <c r="O299" s="2665"/>
      <c r="P299" s="2962"/>
    </row>
    <row r="300" spans="1:20" ht="3" customHeight="1">
      <c r="C300" s="4368"/>
      <c r="D300" s="4368"/>
      <c r="E300" s="4368"/>
      <c r="F300" s="4368"/>
      <c r="G300" s="4368"/>
      <c r="H300" s="4368"/>
      <c r="I300" s="4368"/>
      <c r="J300" s="4368"/>
      <c r="K300" s="4368"/>
      <c r="L300" s="4368"/>
      <c r="M300" s="4368"/>
    </row>
    <row r="301" spans="1:20" ht="12.75" customHeight="1">
      <c r="A301" s="911" t="s">
        <v>1893</v>
      </c>
      <c r="B301" s="175" t="s">
        <v>3494</v>
      </c>
      <c r="L301" s="367" t="str">
        <f>IF(O301&lt;=M301,"","* * Check Score! * *")</f>
        <v/>
      </c>
      <c r="M301" s="968">
        <v>3</v>
      </c>
      <c r="N301" s="439" t="s">
        <v>1893</v>
      </c>
      <c r="O301" s="2573"/>
      <c r="P301" s="3007"/>
      <c r="Q301" s="895" t="str">
        <f>IF(O301&lt;=M301,"","*CHECK!*")</f>
        <v/>
      </c>
      <c r="R301" s="4370" t="s">
        <v>4263</v>
      </c>
      <c r="S301" s="4370"/>
      <c r="T301" s="1498"/>
    </row>
    <row r="302" spans="1:20" ht="12.75" customHeight="1">
      <c r="A302" s="911"/>
      <c r="B302" s="533" t="s">
        <v>1896</v>
      </c>
      <c r="C302" s="898" t="s">
        <v>3998</v>
      </c>
      <c r="D302" s="898"/>
      <c r="E302" s="898"/>
      <c r="F302" s="898"/>
      <c r="G302" s="898"/>
      <c r="H302" s="898"/>
      <c r="I302" s="898"/>
      <c r="N302" s="27"/>
      <c r="O302" s="27"/>
      <c r="P302" s="27"/>
      <c r="R302" s="4370"/>
      <c r="S302" s="4370"/>
      <c r="T302" s="1498"/>
    </row>
    <row r="303" spans="1:20" ht="12.75" customHeight="1">
      <c r="A303" s="911"/>
      <c r="B303" s="423"/>
      <c r="C303" s="898" t="s">
        <v>3997</v>
      </c>
      <c r="D303" s="898"/>
      <c r="E303" s="898"/>
      <c r="F303" s="898"/>
      <c r="G303" s="898"/>
      <c r="H303" s="898"/>
      <c r="I303" s="898"/>
      <c r="J303" s="4195" t="s">
        <v>1900</v>
      </c>
      <c r="K303" s="4195"/>
      <c r="M303" s="4195" t="s">
        <v>1900</v>
      </c>
      <c r="N303" s="4195"/>
      <c r="O303" s="4195"/>
      <c r="P303" s="4195"/>
      <c r="R303" s="4370"/>
      <c r="S303" s="4370"/>
      <c r="T303" s="1498"/>
    </row>
    <row r="304" spans="1:20" s="43" customFormat="1" ht="12.75" customHeight="1">
      <c r="A304" s="173"/>
      <c r="B304" s="366" t="s">
        <v>2324</v>
      </c>
      <c r="C304" s="36" t="s">
        <v>1423</v>
      </c>
      <c r="I304" s="366" t="s">
        <v>2324</v>
      </c>
      <c r="J304" s="4205"/>
      <c r="K304" s="4206"/>
      <c r="L304" s="366" t="s">
        <v>2324</v>
      </c>
      <c r="M304" s="4342"/>
      <c r="N304" s="4343"/>
      <c r="O304" s="4343"/>
      <c r="P304" s="4344"/>
      <c r="R304" s="367"/>
    </row>
    <row r="305" spans="1:18" ht="12.75" customHeight="1">
      <c r="A305" s="174"/>
      <c r="B305" s="379" t="s">
        <v>2325</v>
      </c>
      <c r="C305" s="36" t="s">
        <v>3277</v>
      </c>
      <c r="I305" s="379" t="s">
        <v>2325</v>
      </c>
      <c r="J305" s="4189"/>
      <c r="K305" s="4190"/>
      <c r="L305" s="379" t="s">
        <v>2325</v>
      </c>
      <c r="M305" s="4191"/>
      <c r="N305" s="4192"/>
      <c r="O305" s="4192"/>
      <c r="P305" s="4193"/>
      <c r="R305" s="367"/>
    </row>
    <row r="306" spans="1:18" ht="12.75" customHeight="1">
      <c r="B306" s="366" t="s">
        <v>2326</v>
      </c>
      <c r="C306" s="36" t="s">
        <v>4154</v>
      </c>
      <c r="I306" s="366" t="s">
        <v>2326</v>
      </c>
      <c r="J306" s="4189"/>
      <c r="K306" s="4190"/>
      <c r="L306" s="366" t="s">
        <v>2326</v>
      </c>
      <c r="M306" s="4191"/>
      <c r="N306" s="4192"/>
      <c r="O306" s="4192"/>
      <c r="P306" s="4193"/>
      <c r="R306" s="367"/>
    </row>
    <row r="307" spans="1:18" ht="12.75" customHeight="1">
      <c r="A307" s="174"/>
      <c r="B307" s="366" t="s">
        <v>2327</v>
      </c>
      <c r="C307" s="36" t="s">
        <v>3192</v>
      </c>
      <c r="I307" s="366" t="s">
        <v>2327</v>
      </c>
      <c r="J307" s="4189"/>
      <c r="K307" s="4190"/>
      <c r="L307" s="366" t="s">
        <v>2327</v>
      </c>
      <c r="M307" s="4191"/>
      <c r="N307" s="4192"/>
      <c r="O307" s="4192"/>
      <c r="P307" s="4193"/>
      <c r="R307" s="367"/>
    </row>
    <row r="308" spans="1:18" s="43" customFormat="1" ht="12.75" customHeight="1">
      <c r="A308" s="173"/>
      <c r="B308" s="379" t="s">
        <v>2328</v>
      </c>
      <c r="C308" s="36" t="s">
        <v>2571</v>
      </c>
      <c r="I308" s="379" t="s">
        <v>2328</v>
      </c>
      <c r="J308" s="4189"/>
      <c r="K308" s="4190"/>
      <c r="L308" s="379" t="s">
        <v>2328</v>
      </c>
      <c r="M308" s="4191"/>
      <c r="N308" s="4192"/>
      <c r="O308" s="4192"/>
      <c r="P308" s="4193"/>
      <c r="R308" s="367"/>
    </row>
    <row r="309" spans="1:18" ht="12.75" customHeight="1">
      <c r="B309" s="366" t="s">
        <v>2344</v>
      </c>
      <c r="C309" s="36" t="s">
        <v>1422</v>
      </c>
      <c r="I309" s="366" t="s">
        <v>2344</v>
      </c>
      <c r="J309" s="4189"/>
      <c r="K309" s="4190"/>
      <c r="L309" s="366" t="s">
        <v>2344</v>
      </c>
      <c r="M309" s="4191"/>
      <c r="N309" s="4192"/>
      <c r="O309" s="4192"/>
      <c r="P309" s="4193"/>
      <c r="R309" s="367"/>
    </row>
    <row r="310" spans="1:18" ht="12.75" customHeight="1">
      <c r="B310" s="366" t="s">
        <v>2345</v>
      </c>
      <c r="C310" s="36" t="s">
        <v>6503</v>
      </c>
      <c r="I310" s="366" t="s">
        <v>2345</v>
      </c>
      <c r="J310" s="4189"/>
      <c r="K310" s="4190"/>
      <c r="L310" s="366" t="s">
        <v>2345</v>
      </c>
      <c r="M310" s="3013"/>
      <c r="N310" s="3014"/>
      <c r="O310" s="3014"/>
      <c r="P310" s="3015"/>
      <c r="R310" s="367"/>
    </row>
    <row r="311" spans="1:18" ht="12.75" customHeight="1">
      <c r="A311" s="174"/>
      <c r="B311" s="378" t="s">
        <v>2346</v>
      </c>
      <c r="C311" s="36" t="s">
        <v>3276</v>
      </c>
      <c r="I311" s="378" t="s">
        <v>2346</v>
      </c>
      <c r="J311" s="4189"/>
      <c r="K311" s="4190"/>
      <c r="L311" s="378" t="s">
        <v>2346</v>
      </c>
      <c r="M311" s="4191"/>
      <c r="N311" s="4192"/>
      <c r="O311" s="4192"/>
      <c r="P311" s="4193"/>
      <c r="R311" s="367"/>
    </row>
    <row r="312" spans="1:18" ht="12.75" customHeight="1">
      <c r="B312" s="378" t="s">
        <v>2347</v>
      </c>
      <c r="C312" s="36" t="s">
        <v>3999</v>
      </c>
      <c r="I312" s="378" t="s">
        <v>2347</v>
      </c>
      <c r="J312" s="4189"/>
      <c r="K312" s="4190"/>
      <c r="L312" s="378" t="s">
        <v>2347</v>
      </c>
      <c r="M312" s="4191"/>
      <c r="N312" s="4192"/>
      <c r="O312" s="4192"/>
      <c r="P312" s="4193"/>
      <c r="R312" s="367"/>
    </row>
    <row r="313" spans="1:18" ht="12.75" customHeight="1">
      <c r="B313" s="378" t="s">
        <v>3278</v>
      </c>
      <c r="C313" s="36" t="s">
        <v>4000</v>
      </c>
      <c r="I313" s="378" t="s">
        <v>3278</v>
      </c>
      <c r="J313" s="4189"/>
      <c r="K313" s="4190"/>
      <c r="L313" s="378" t="s">
        <v>3278</v>
      </c>
      <c r="M313" s="4191"/>
      <c r="N313" s="4192"/>
      <c r="O313" s="4192"/>
      <c r="P313" s="4193"/>
      <c r="R313" s="367"/>
    </row>
    <row r="314" spans="1:18" ht="12.75" customHeight="1" thickBot="1">
      <c r="B314" s="378" t="s">
        <v>6504</v>
      </c>
      <c r="C314" s="36" t="s">
        <v>6505</v>
      </c>
      <c r="I314" s="378" t="s">
        <v>6504</v>
      </c>
      <c r="J314" s="4189"/>
      <c r="K314" s="4190"/>
      <c r="L314" s="378" t="s">
        <v>6504</v>
      </c>
      <c r="M314" s="4182"/>
      <c r="N314" s="4183"/>
      <c r="O314" s="4183"/>
      <c r="P314" s="4184"/>
      <c r="R314" s="367"/>
    </row>
    <row r="315" spans="1:18" ht="12.75" customHeight="1" thickBot="1">
      <c r="B315" s="988" t="s">
        <v>4001</v>
      </c>
      <c r="H315" s="1006" t="s">
        <v>2501</v>
      </c>
      <c r="J315" s="4199">
        <f>SUM(J304:K314)</f>
        <v>0</v>
      </c>
      <c r="K315" s="4200"/>
      <c r="M315" s="4199">
        <f>SUM($M304:$M314)</f>
        <v>0</v>
      </c>
      <c r="N315" s="4204"/>
      <c r="O315" s="4204"/>
      <c r="P315" s="4200"/>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330">
        <f>'Part VI-Revenues &amp; Expenses'!$P$67</f>
        <v>50</v>
      </c>
      <c r="K317" s="4331"/>
      <c r="L317" s="497"/>
      <c r="M317" s="474"/>
      <c r="N317" s="474"/>
      <c r="O317" s="962"/>
      <c r="P317" s="474"/>
    </row>
    <row r="318" spans="1:18" ht="13.5" customHeight="1">
      <c r="C318" s="897"/>
      <c r="D318" s="897"/>
      <c r="E318" s="897"/>
      <c r="F318" s="422" t="s">
        <v>6508</v>
      </c>
      <c r="J318" s="4215">
        <f>J315/J317</f>
        <v>0</v>
      </c>
      <c r="K318" s="4216"/>
      <c r="M318" s="4209">
        <f>IF($J317=0,0,$M315/$J317)</f>
        <v>0</v>
      </c>
      <c r="N318" s="4210"/>
      <c r="O318" s="4210"/>
      <c r="P318" s="4211"/>
    </row>
    <row r="319" spans="1:18" s="43" customFormat="1" ht="12.75" customHeight="1">
      <c r="C319" s="897"/>
      <c r="D319" s="897"/>
      <c r="E319" s="897"/>
      <c r="F319" s="921" t="s">
        <v>6509</v>
      </c>
      <c r="I319" s="27"/>
      <c r="J319" s="4196">
        <f>IF(L296="", IF($J318&gt;=30000, 3,IF($J318&gt;=20000, 2,IF($J318&gt;=10000,1,0))),0)</f>
        <v>0</v>
      </c>
      <c r="K319" s="4197"/>
      <c r="L319" s="482"/>
      <c r="M319" s="4196">
        <f>IF(R296="", IF($M318&gt;=30000, 3,IF($M318&gt;=20000, 2,IF($M318&gt;=10000,1,0))),0)</f>
        <v>0</v>
      </c>
      <c r="N319" s="4214"/>
      <c r="O319" s="4214"/>
      <c r="P319" s="4197"/>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4263</v>
      </c>
      <c r="V321" s="929"/>
    </row>
    <row r="322" spans="1:22" s="43" customFormat="1" ht="22.5" customHeight="1">
      <c r="A322" s="137"/>
      <c r="B322" s="423" t="s">
        <v>1896</v>
      </c>
      <c r="C322" s="3964" t="s">
        <v>3495</v>
      </c>
      <c r="D322" s="3964"/>
      <c r="E322" s="3964"/>
      <c r="F322" s="3964"/>
      <c r="G322" s="3964"/>
      <c r="H322" s="3964"/>
      <c r="I322" s="3964"/>
      <c r="J322" s="3964"/>
      <c r="K322" s="3964"/>
      <c r="L322" s="3964"/>
      <c r="M322" s="3964"/>
      <c r="N322" s="1737" t="s">
        <v>1896</v>
      </c>
      <c r="O322" s="2655"/>
      <c r="P322" s="2972"/>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68"/>
      <c r="P323" s="2954"/>
      <c r="V323" s="929"/>
    </row>
    <row r="324" spans="1:22" ht="12.75" customHeight="1">
      <c r="B324" s="365" t="s">
        <v>2416</v>
      </c>
      <c r="C324" s="418" t="s">
        <v>4002</v>
      </c>
      <c r="N324" s="779" t="s">
        <v>2416</v>
      </c>
      <c r="O324" s="2668"/>
      <c r="P324" s="2954"/>
    </row>
    <row r="325" spans="1:22" ht="12" customHeight="1" thickBot="1">
      <c r="B325" s="1007" t="s">
        <v>3373</v>
      </c>
    </row>
    <row r="326" spans="1:22" s="43" customFormat="1" ht="21.75" customHeight="1" thickTop="1" thickBot="1">
      <c r="A326" s="4177" t="s">
        <v>931</v>
      </c>
      <c r="B326" s="4178"/>
      <c r="C326" s="4178"/>
      <c r="D326" s="4178"/>
      <c r="E326" s="4178"/>
      <c r="F326" s="4178"/>
      <c r="G326" s="4178"/>
      <c r="H326" s="4178"/>
      <c r="I326" s="4178"/>
      <c r="J326" s="4178"/>
      <c r="K326" s="4178"/>
      <c r="L326" s="4178"/>
      <c r="M326" s="4178"/>
      <c r="N326" s="4178"/>
      <c r="O326" s="4178"/>
      <c r="P326" s="4179"/>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1"/>
      <c r="B328" s="4002"/>
      <c r="C328" s="4002"/>
      <c r="D328" s="4002"/>
      <c r="E328" s="4002"/>
      <c r="F328" s="4002"/>
      <c r="G328" s="4002"/>
      <c r="H328" s="4002"/>
      <c r="I328" s="4002"/>
      <c r="J328" s="4002"/>
      <c r="K328" s="4002"/>
      <c r="L328" s="4002"/>
      <c r="M328" s="4002"/>
      <c r="N328" s="4002"/>
      <c r="O328" s="4002"/>
      <c r="P328" s="4003"/>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3522</v>
      </c>
      <c r="B330" s="104" t="s">
        <v>2566</v>
      </c>
      <c r="D330" s="40"/>
      <c r="G330" s="61" t="s">
        <v>6295</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5" t="s">
        <v>4068</v>
      </c>
      <c r="E332" s="3826"/>
      <c r="F332" s="3826"/>
      <c r="G332" s="3826"/>
      <c r="H332" s="3826"/>
      <c r="I332" s="3827"/>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4155</v>
      </c>
      <c r="C334" s="382"/>
      <c r="D334" s="382"/>
      <c r="E334" s="382"/>
      <c r="F334" s="382"/>
      <c r="G334" s="382"/>
      <c r="H334" s="382"/>
      <c r="I334" s="382"/>
      <c r="M334" s="402">
        <v>2</v>
      </c>
      <c r="N334" s="159" t="s">
        <v>1893</v>
      </c>
      <c r="O334" s="2573"/>
      <c r="P334" s="3007"/>
      <c r="Q334" s="895" t="str">
        <f>IF(OR($O334=$M334,$O334=0,$O334=""),"","*CHECK!*")</f>
        <v/>
      </c>
      <c r="R334" s="892" t="s">
        <v>4263</v>
      </c>
    </row>
    <row r="335" spans="1:22" s="401" customFormat="1" ht="12" customHeight="1">
      <c r="A335" s="400"/>
      <c r="B335" s="4165" t="s">
        <v>6510</v>
      </c>
      <c r="C335" s="4165"/>
      <c r="D335" s="4165"/>
      <c r="E335" s="4165"/>
      <c r="F335" s="4165"/>
      <c r="G335" s="4165"/>
      <c r="H335" s="4165"/>
      <c r="I335" s="4165"/>
      <c r="J335" s="4165"/>
      <c r="K335" s="4165"/>
      <c r="L335" s="4165"/>
      <c r="M335" s="4181" t="s">
        <v>4069</v>
      </c>
      <c r="N335" s="4181"/>
      <c r="Q335" s="170"/>
    </row>
    <row r="336" spans="1:22" s="401" customFormat="1" ht="12" customHeight="1">
      <c r="B336" s="4165"/>
      <c r="C336" s="4165"/>
      <c r="D336" s="4165"/>
      <c r="E336" s="4165"/>
      <c r="F336" s="4165"/>
      <c r="G336" s="4165"/>
      <c r="H336" s="4165"/>
      <c r="I336" s="4165"/>
      <c r="J336" s="4165"/>
      <c r="K336" s="4165"/>
      <c r="L336" s="4165"/>
      <c r="M336" s="4181"/>
      <c r="N336" s="4181"/>
      <c r="O336" s="4187">
        <f>'Part VI-Revenues &amp; Expenses'!$P$123</f>
        <v>0</v>
      </c>
      <c r="P336" s="4188"/>
      <c r="Q336" s="170"/>
    </row>
    <row r="337" spans="1:19" s="401" customFormat="1" ht="12" customHeight="1">
      <c r="B337" s="4165"/>
      <c r="C337" s="4165"/>
      <c r="D337" s="4165"/>
      <c r="E337" s="4165"/>
      <c r="F337" s="4165"/>
      <c r="G337" s="4165"/>
      <c r="H337" s="4165"/>
      <c r="I337" s="4165"/>
      <c r="J337" s="4165"/>
      <c r="K337" s="4165"/>
      <c r="L337" s="4165"/>
      <c r="M337" s="2644" t="s">
        <v>2628</v>
      </c>
      <c r="N337" s="402"/>
      <c r="O337" s="4185">
        <f>'Part VI-Revenues &amp; Expenses'!$P$67</f>
        <v>50</v>
      </c>
      <c r="P337" s="4186"/>
      <c r="Q337" s="170"/>
    </row>
    <row r="338" spans="1:19" s="401" customFormat="1" ht="12" customHeight="1">
      <c r="B338" s="4194"/>
      <c r="C338" s="4194"/>
      <c r="D338" s="4194"/>
      <c r="E338" s="4194"/>
      <c r="F338" s="4194"/>
      <c r="G338" s="4194"/>
      <c r="H338" s="4194"/>
      <c r="I338" s="4194"/>
      <c r="J338" s="4194"/>
      <c r="K338" s="4194"/>
      <c r="L338" s="4194"/>
      <c r="M338" s="1280" t="s">
        <v>2629</v>
      </c>
      <c r="N338" s="402"/>
      <c r="O338" s="4389">
        <f>IF(O337=0,0,O336/O337)</f>
        <v>0</v>
      </c>
      <c r="P338" s="4390"/>
      <c r="Q338" s="170"/>
    </row>
    <row r="339" spans="1:19" s="43" customFormat="1" ht="105.75" customHeight="1">
      <c r="A339" s="492"/>
      <c r="B339" s="3981" t="s">
        <v>3567</v>
      </c>
      <c r="C339" s="3982"/>
      <c r="D339" s="3982"/>
      <c r="E339" s="3982"/>
      <c r="F339" s="3982"/>
      <c r="G339" s="3982"/>
      <c r="H339" s="3982"/>
      <c r="I339" s="3982"/>
      <c r="J339" s="3982"/>
      <c r="K339" s="3982"/>
      <c r="L339" s="3982"/>
      <c r="M339" s="3982"/>
      <c r="N339" s="3982"/>
      <c r="O339" s="3982"/>
      <c r="P339" s="398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4156</v>
      </c>
      <c r="C341" s="138"/>
      <c r="D341" s="766"/>
      <c r="H341" s="382"/>
      <c r="M341" s="402">
        <v>2</v>
      </c>
      <c r="N341" s="159" t="s">
        <v>1895</v>
      </c>
      <c r="O341" s="2573"/>
      <c r="P341" s="3007"/>
      <c r="Q341" s="895" t="str">
        <f>IF(OR($O341=$M341,$O341=0,$O341=""),"","*CHECK!*")</f>
        <v/>
      </c>
      <c r="R341" s="892" t="s">
        <v>4263</v>
      </c>
    </row>
    <row r="342" spans="1:19" s="401" customFormat="1" ht="11.25" customHeight="1">
      <c r="A342" s="493"/>
      <c r="B342" s="3964" t="s">
        <v>6511</v>
      </c>
      <c r="C342" s="3964"/>
      <c r="D342" s="3964"/>
      <c r="E342" s="3964"/>
      <c r="F342" s="3964"/>
      <c r="G342" s="3964"/>
      <c r="H342" s="3964"/>
      <c r="I342" s="3964"/>
      <c r="J342" s="3964"/>
      <c r="K342" s="3964"/>
      <c r="L342" s="3964"/>
      <c r="M342" s="1320" t="s">
        <v>4003</v>
      </c>
      <c r="O342" s="4202">
        <f>'Part VI-Revenues &amp; Expenses'!$P$125</f>
        <v>0</v>
      </c>
      <c r="P342" s="4203"/>
      <c r="Q342" s="170"/>
    </row>
    <row r="343" spans="1:19" s="401" customFormat="1" ht="11.25" customHeight="1">
      <c r="A343" s="493"/>
      <c r="B343" s="3964"/>
      <c r="C343" s="3964"/>
      <c r="D343" s="3964"/>
      <c r="E343" s="3964"/>
      <c r="F343" s="3964"/>
      <c r="G343" s="3964"/>
      <c r="H343" s="3964"/>
      <c r="I343" s="3964"/>
      <c r="J343" s="3964"/>
      <c r="K343" s="3964"/>
      <c r="L343" s="3964"/>
      <c r="M343" s="1016" t="s">
        <v>2628</v>
      </c>
      <c r="N343" s="402"/>
      <c r="O343" s="4185">
        <f>'Part VI-Revenues &amp; Expenses'!$P$67</f>
        <v>50</v>
      </c>
      <c r="P343" s="4186"/>
      <c r="Q343" s="170"/>
    </row>
    <row r="344" spans="1:19" s="401" customFormat="1" ht="11.25" customHeight="1">
      <c r="A344" s="493"/>
      <c r="B344" s="3964"/>
      <c r="C344" s="3964"/>
      <c r="D344" s="3964"/>
      <c r="E344" s="3964"/>
      <c r="F344" s="3964"/>
      <c r="G344" s="3964"/>
      <c r="H344" s="3964"/>
      <c r="I344" s="3964"/>
      <c r="J344" s="3964"/>
      <c r="K344" s="3964"/>
      <c r="L344" s="3964"/>
      <c r="M344" s="1280" t="s">
        <v>2629</v>
      </c>
      <c r="N344" s="402"/>
      <c r="O344" s="4389">
        <f>IF(O343=0,0,O342/O343)</f>
        <v>0</v>
      </c>
      <c r="P344" s="4390"/>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177" t="s">
        <v>931</v>
      </c>
      <c r="B346" s="4178"/>
      <c r="C346" s="4178"/>
      <c r="D346" s="4178"/>
      <c r="E346" s="4178"/>
      <c r="F346" s="4178"/>
      <c r="G346" s="4178"/>
      <c r="H346" s="4178"/>
      <c r="I346" s="4178"/>
      <c r="J346" s="4178"/>
      <c r="K346" s="4178"/>
      <c r="L346" s="4178"/>
      <c r="M346" s="4178"/>
      <c r="N346" s="4178"/>
      <c r="O346" s="4178"/>
      <c r="P346" s="4179"/>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001"/>
      <c r="B348" s="4002"/>
      <c r="C348" s="4002"/>
      <c r="D348" s="4002"/>
      <c r="E348" s="4002"/>
      <c r="F348" s="4002"/>
      <c r="G348" s="4002"/>
      <c r="H348" s="4002"/>
      <c r="I348" s="4002"/>
      <c r="J348" s="4002"/>
      <c r="K348" s="4002"/>
      <c r="L348" s="4002"/>
      <c r="M348" s="4002"/>
      <c r="N348" s="4002"/>
      <c r="O348" s="4002"/>
      <c r="P348" s="4003"/>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3523</v>
      </c>
      <c r="B350" s="104" t="s">
        <v>4238</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3301</v>
      </c>
      <c r="D352" s="45"/>
      <c r="E352" s="45"/>
      <c r="F352" s="39"/>
      <c r="G352" s="36"/>
      <c r="I352" s="36"/>
      <c r="J352" s="36"/>
      <c r="K352" s="36"/>
      <c r="L352" s="367"/>
      <c r="M352" s="2650"/>
      <c r="N352" s="6"/>
      <c r="O352" s="977">
        <v>10</v>
      </c>
      <c r="P352" s="977">
        <v>10</v>
      </c>
      <c r="Q352" s="108"/>
    </row>
    <row r="353" spans="1:18" s="101" customFormat="1" ht="12.75" customHeight="1">
      <c r="A353" s="152"/>
      <c r="B353" s="86" t="s">
        <v>3302</v>
      </c>
      <c r="D353" s="45"/>
      <c r="E353" s="45"/>
      <c r="F353" s="39"/>
      <c r="G353" s="36"/>
      <c r="I353" s="36"/>
      <c r="J353" s="36"/>
      <c r="K353" s="36"/>
      <c r="L353" s="367"/>
      <c r="M353" s="2650"/>
      <c r="N353" s="6"/>
      <c r="O353" s="2606"/>
      <c r="P353" s="3010"/>
      <c r="Q353" s="108"/>
    </row>
    <row r="354" spans="1:18" s="101" customFormat="1" ht="12.75" customHeight="1">
      <c r="A354" s="152"/>
      <c r="B354" s="86" t="s">
        <v>3303</v>
      </c>
      <c r="D354" s="45"/>
      <c r="E354" s="45"/>
      <c r="F354" s="39"/>
      <c r="G354" s="36"/>
      <c r="I354" s="36"/>
      <c r="J354" s="36"/>
      <c r="K354" s="36"/>
      <c r="L354" s="367"/>
      <c r="M354" s="2650"/>
      <c r="N354" s="6"/>
      <c r="O354" s="2607"/>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1"/>
      <c r="B356" s="4002"/>
      <c r="C356" s="4002"/>
      <c r="D356" s="4002"/>
      <c r="E356" s="4002"/>
      <c r="F356" s="4002"/>
      <c r="G356" s="4002"/>
      <c r="H356" s="4002"/>
      <c r="I356" s="4002"/>
      <c r="J356" s="4002"/>
      <c r="K356" s="4002"/>
      <c r="L356" s="4002"/>
      <c r="M356" s="4002"/>
      <c r="N356" s="4002"/>
      <c r="O356" s="4002"/>
      <c r="P356" s="4003"/>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3526</v>
      </c>
      <c r="B358" s="105" t="s">
        <v>6512</v>
      </c>
      <c r="C358" s="2653"/>
      <c r="D358" s="2653"/>
      <c r="E358" s="2653"/>
      <c r="F358" s="2653"/>
      <c r="G358" s="61" t="s">
        <v>6295</v>
      </c>
      <c r="H358" s="2653"/>
      <c r="I358" s="178" t="s">
        <v>3986</v>
      </c>
      <c r="J358" s="1292" t="str">
        <f>'Part I-Project Information'!$H$77</f>
        <v>HFOP</v>
      </c>
      <c r="K358" s="2653"/>
      <c r="L358" s="2653"/>
      <c r="M358" s="777">
        <v>2</v>
      </c>
      <c r="N358" s="74"/>
      <c r="O358" s="2605"/>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6518</v>
      </c>
      <c r="D361" s="783" t="s">
        <v>6558</v>
      </c>
      <c r="E361" s="2657"/>
      <c r="F361" s="2657"/>
      <c r="G361" s="2657"/>
      <c r="H361" s="2657"/>
      <c r="K361" s="2657"/>
      <c r="L361" s="2657"/>
      <c r="N361" s="92"/>
      <c r="O361" s="4208" t="s">
        <v>4261</v>
      </c>
      <c r="P361" s="4208"/>
      <c r="Q361" s="108"/>
    </row>
    <row r="362" spans="1:18" s="414" customFormat="1" ht="10.5" customHeight="1">
      <c r="A362" s="413"/>
      <c r="B362" s="1677" t="s">
        <v>2324</v>
      </c>
      <c r="C362" s="921" t="s">
        <v>6513</v>
      </c>
      <c r="N362" s="425" t="s">
        <v>2324</v>
      </c>
      <c r="O362" s="2608"/>
      <c r="P362" s="3016"/>
    </row>
    <row r="363" spans="1:18" s="401" customFormat="1" ht="21.75" customHeight="1">
      <c r="A363" s="142"/>
      <c r="B363" s="379" t="s">
        <v>2325</v>
      </c>
      <c r="C363" s="3951" t="s">
        <v>6514</v>
      </c>
      <c r="D363" s="3951"/>
      <c r="E363" s="3951"/>
      <c r="F363" s="3951"/>
      <c r="G363" s="3951"/>
      <c r="H363" s="3951"/>
      <c r="I363" s="3951"/>
      <c r="J363" s="3951"/>
      <c r="K363" s="3951"/>
      <c r="L363" s="3951"/>
      <c r="M363" s="3951"/>
      <c r="N363" s="159" t="s">
        <v>2325</v>
      </c>
      <c r="O363" s="2609"/>
      <c r="P363" s="3017"/>
    </row>
    <row r="364" spans="1:18" s="401" customFormat="1" ht="21.75" customHeight="1">
      <c r="A364" s="142"/>
      <c r="B364" s="379" t="s">
        <v>2326</v>
      </c>
      <c r="C364" s="3951" t="s">
        <v>6516</v>
      </c>
      <c r="D364" s="3951"/>
      <c r="E364" s="3951"/>
      <c r="F364" s="3951"/>
      <c r="G364" s="3951"/>
      <c r="H364" s="3951"/>
      <c r="I364" s="3951"/>
      <c r="J364" s="3951"/>
      <c r="K364" s="3951"/>
      <c r="L364" s="3951"/>
      <c r="M364" s="3951"/>
      <c r="N364" s="159" t="s">
        <v>2326</v>
      </c>
      <c r="O364" s="2609"/>
      <c r="P364" s="3017"/>
    </row>
    <row r="365" spans="1:18" s="101" customFormat="1" ht="11.25" customHeight="1">
      <c r="B365" s="366" t="s">
        <v>2327</v>
      </c>
      <c r="C365" s="36" t="s">
        <v>6517</v>
      </c>
      <c r="N365" s="439" t="s">
        <v>2327</v>
      </c>
      <c r="O365" s="2610"/>
      <c r="P365" s="3018"/>
    </row>
    <row r="366" spans="1:18" s="101" customFormat="1" ht="11.25" customHeight="1">
      <c r="A366" s="151"/>
      <c r="B366" s="112" t="s">
        <v>6519</v>
      </c>
      <c r="D366" s="2657"/>
      <c r="E366" s="2657"/>
      <c r="F366" s="2657"/>
      <c r="G366" s="2657"/>
      <c r="H366" s="783" t="s">
        <v>6558</v>
      </c>
      <c r="K366" s="2657"/>
      <c r="L366" s="2657"/>
      <c r="M366" s="777"/>
      <c r="N366" s="92"/>
      <c r="O366" s="4212" t="s">
        <v>4261</v>
      </c>
      <c r="P366" s="4212"/>
      <c r="Q366" s="108"/>
    </row>
    <row r="367" spans="1:18" s="414" customFormat="1" ht="12.75" customHeight="1">
      <c r="A367" s="413"/>
      <c r="B367" s="1677" t="s">
        <v>2324</v>
      </c>
      <c r="C367" s="4213" t="s">
        <v>6520</v>
      </c>
      <c r="D367" s="4213"/>
      <c r="E367" s="4213"/>
      <c r="F367" s="4213"/>
      <c r="G367" s="4213"/>
      <c r="H367" s="4213"/>
      <c r="I367" s="4213"/>
      <c r="J367" s="4213"/>
      <c r="K367" s="4213"/>
      <c r="L367" s="4213"/>
      <c r="N367" s="425" t="s">
        <v>2324</v>
      </c>
      <c r="O367" s="2608"/>
      <c r="P367" s="3016"/>
    </row>
    <row r="368" spans="1:18" s="414" customFormat="1" ht="12.75" customHeight="1">
      <c r="A368" s="413"/>
      <c r="B368" s="1677" t="s">
        <v>2325</v>
      </c>
      <c r="C368" s="4213" t="s">
        <v>6521</v>
      </c>
      <c r="D368" s="4213"/>
      <c r="E368" s="4213"/>
      <c r="F368" s="4213"/>
      <c r="G368" s="4213"/>
      <c r="H368" s="4213"/>
      <c r="I368" s="4213"/>
      <c r="J368" s="4213"/>
      <c r="K368" s="4213"/>
      <c r="L368" s="4213"/>
      <c r="M368" s="921"/>
      <c r="N368" s="425" t="s">
        <v>2325</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388" t="s">
        <v>4261</v>
      </c>
      <c r="P371" s="4388"/>
      <c r="Q371" s="2644"/>
      <c r="R371" s="43"/>
      <c r="S371" s="43"/>
      <c r="T371" s="43"/>
      <c r="U371" s="43"/>
    </row>
    <row r="372" spans="1:23" s="401" customFormat="1" ht="11.25" customHeight="1">
      <c r="A372" s="1678"/>
      <c r="B372" s="423" t="s">
        <v>1896</v>
      </c>
      <c r="C372" s="4207" t="s">
        <v>6559</v>
      </c>
      <c r="D372" s="4207"/>
      <c r="E372" s="4207"/>
      <c r="F372" s="4207"/>
      <c r="G372" s="4207"/>
      <c r="H372" s="4207"/>
      <c r="I372" s="4207"/>
      <c r="J372" s="4207"/>
      <c r="K372" s="4207"/>
      <c r="L372" s="4207"/>
      <c r="M372" s="4207"/>
      <c r="N372" s="381" t="s">
        <v>1896</v>
      </c>
      <c r="O372" s="2613"/>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177" t="s">
        <v>931</v>
      </c>
      <c r="B375" s="4178"/>
      <c r="C375" s="4178"/>
      <c r="D375" s="4178"/>
      <c r="E375" s="4178"/>
      <c r="F375" s="4178"/>
      <c r="G375" s="4178"/>
      <c r="H375" s="4178"/>
      <c r="I375" s="4178"/>
      <c r="J375" s="4178"/>
      <c r="K375" s="4178"/>
      <c r="L375" s="4178"/>
      <c r="M375" s="4178"/>
      <c r="N375" s="4178"/>
      <c r="O375" s="4178"/>
      <c r="P375" s="4179"/>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001"/>
      <c r="B377" s="4002"/>
      <c r="C377" s="4002"/>
      <c r="D377" s="4002"/>
      <c r="E377" s="4002"/>
      <c r="F377" s="4002"/>
      <c r="G377" s="4002"/>
      <c r="H377" s="4002"/>
      <c r="I377" s="4002"/>
      <c r="J377" s="4002"/>
      <c r="K377" s="4002"/>
      <c r="L377" s="4002"/>
      <c r="M377" s="4002"/>
      <c r="N377" s="4002"/>
      <c r="O377" s="4002"/>
      <c r="P377" s="4003"/>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3527</v>
      </c>
      <c r="B379" s="104" t="s">
        <v>6524</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001"/>
      <c r="B381" s="4002"/>
      <c r="C381" s="4002"/>
      <c r="D381" s="4002"/>
      <c r="E381" s="4002"/>
      <c r="F381" s="4002"/>
      <c r="G381" s="4002"/>
      <c r="H381" s="4002"/>
      <c r="I381" s="4002"/>
      <c r="J381" s="4002"/>
      <c r="K381" s="4002"/>
      <c r="L381" s="4002"/>
      <c r="M381" s="4002"/>
      <c r="N381" s="4002"/>
      <c r="O381" s="4002"/>
      <c r="P381" s="4003"/>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3528</v>
      </c>
      <c r="B383" s="104" t="s">
        <v>6525</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001"/>
      <c r="B385" s="4002"/>
      <c r="C385" s="4002"/>
      <c r="D385" s="4002"/>
      <c r="E385" s="4002"/>
      <c r="F385" s="4002"/>
      <c r="G385" s="4002"/>
      <c r="H385" s="4002"/>
      <c r="I385" s="4002"/>
      <c r="J385" s="4002"/>
      <c r="K385" s="4002"/>
      <c r="L385" s="4002"/>
      <c r="M385" s="4002"/>
      <c r="N385" s="4002"/>
      <c r="O385" s="4002"/>
      <c r="P385" s="4003"/>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3529</v>
      </c>
      <c r="B387" s="104" t="s">
        <v>6526</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001"/>
      <c r="B389" s="4002"/>
      <c r="C389" s="4002"/>
      <c r="D389" s="4002"/>
      <c r="E389" s="4002"/>
      <c r="F389" s="4002"/>
      <c r="G389" s="4002"/>
      <c r="H389" s="4002"/>
      <c r="I389" s="4002"/>
      <c r="J389" s="4002"/>
      <c r="K389" s="4002"/>
      <c r="L389" s="4002"/>
      <c r="M389" s="4002"/>
      <c r="N389" s="4002"/>
      <c r="O389" s="4002"/>
      <c r="P389" s="4003"/>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3530</v>
      </c>
      <c r="B391" s="104" t="s">
        <v>6527</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001"/>
      <c r="B393" s="4002"/>
      <c r="C393" s="4002"/>
      <c r="D393" s="4002"/>
      <c r="E393" s="4002"/>
      <c r="F393" s="4002"/>
      <c r="G393" s="4002"/>
      <c r="H393" s="4002"/>
      <c r="I393" s="4002"/>
      <c r="J393" s="4002"/>
      <c r="K393" s="4002"/>
      <c r="L393" s="4002"/>
      <c r="M393" s="4002"/>
      <c r="N393" s="4002"/>
      <c r="O393" s="4002"/>
      <c r="P393" s="4003"/>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3531</v>
      </c>
      <c r="B395" s="105" t="s">
        <v>6561</v>
      </c>
      <c r="C395" s="87"/>
      <c r="D395" s="58"/>
      <c r="E395" s="52"/>
      <c r="G395" s="55"/>
      <c r="I395" s="1682" t="s">
        <v>6530</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1"/>
      <c r="B397" s="4002"/>
      <c r="C397" s="4002"/>
      <c r="D397" s="4002"/>
      <c r="E397" s="4002"/>
      <c r="F397" s="4002"/>
      <c r="G397" s="4002"/>
      <c r="H397" s="4002"/>
      <c r="I397" s="4002"/>
      <c r="J397" s="4002"/>
      <c r="K397" s="4002"/>
      <c r="L397" s="4002"/>
      <c r="M397" s="4002"/>
      <c r="N397" s="4002"/>
      <c r="O397" s="4002"/>
      <c r="P397" s="4003"/>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61</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1" t="s">
        <v>6280</v>
      </c>
      <c r="B403" s="4201"/>
      <c r="C403" s="4201"/>
      <c r="D403" s="4201"/>
      <c r="E403" s="4201"/>
      <c r="F403" s="4201"/>
      <c r="G403" s="4201"/>
      <c r="H403" s="4201"/>
      <c r="I403" s="4201"/>
      <c r="J403" s="4201"/>
      <c r="K403" s="4201"/>
      <c r="L403" s="4201"/>
      <c r="M403" s="4201"/>
      <c r="N403" s="4201"/>
      <c r="O403" s="4201"/>
      <c r="P403" s="4201"/>
    </row>
    <row r="404" spans="1:18" s="43" customFormat="1" ht="409.15" customHeight="1">
      <c r="A404" s="3959" t="s">
        <v>7012</v>
      </c>
      <c r="B404" s="3960"/>
      <c r="C404" s="3960"/>
      <c r="D404" s="3960"/>
      <c r="E404" s="3960"/>
      <c r="F404" s="3960"/>
      <c r="G404" s="3960"/>
      <c r="H404" s="3960"/>
      <c r="I404" s="3960"/>
      <c r="J404" s="3960"/>
      <c r="K404" s="3960"/>
      <c r="L404" s="3960"/>
      <c r="M404" s="3960"/>
      <c r="N404" s="3960"/>
      <c r="O404" s="3960"/>
      <c r="P404" s="3961"/>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8" t="s">
        <v>1443</v>
      </c>
      <c r="H424" s="4198"/>
      <c r="I424" s="4198"/>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4270</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4271</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4271</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4270</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4270</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4270</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4270</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4271</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4270</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4270</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4271</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4271</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6nXtieM/v/kTIL52zgOBF2NQDdDYV39js0ejttn3ZXe41xjkZx9PN2LZJBF7ArS08hPG7df4gFyFvi35wcozeg==" saltValue="Im1Jv8qMYL6+3aOxSAXlxw=="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3" t="s">
        <v>2701</v>
      </c>
      <c r="B1" s="4433"/>
      <c r="C1" s="4433"/>
      <c r="D1" s="4433"/>
      <c r="E1" s="4433"/>
      <c r="F1" s="4433"/>
      <c r="G1" s="4433"/>
      <c r="H1" s="4433"/>
      <c r="I1" s="4433"/>
      <c r="J1" s="4433"/>
    </row>
    <row r="2" spans="1:16" ht="15.75">
      <c r="A2" s="4433" t="str">
        <f>'Sensitivity Analysis'!C8</f>
        <v>Sparrow Pointe</v>
      </c>
      <c r="B2" s="4433"/>
      <c r="C2" s="4433"/>
      <c r="D2" s="4433"/>
      <c r="E2" s="4433"/>
      <c r="F2" s="4433"/>
      <c r="G2" s="4433"/>
      <c r="H2" s="4433"/>
      <c r="I2" s="4433"/>
      <c r="J2" s="4433"/>
    </row>
    <row r="3" spans="1:16" ht="15.75">
      <c r="A3" s="4433" t="str">
        <f>'Subsidy Layering Memo'!F14</f>
        <v>Rome, Floyd</v>
      </c>
      <c r="B3" s="4433"/>
      <c r="C3" s="4433"/>
      <c r="D3" s="4433"/>
      <c r="E3" s="4433"/>
      <c r="F3" s="4433"/>
      <c r="G3" s="4433"/>
      <c r="H3" s="4433"/>
      <c r="I3" s="4433"/>
      <c r="J3" s="4433"/>
    </row>
    <row r="4" spans="1:16" ht="15.75">
      <c r="A4" s="4434" t="s">
        <v>2702</v>
      </c>
      <c r="B4" s="4433"/>
      <c r="C4" s="4433"/>
      <c r="D4" s="4433"/>
      <c r="E4" s="4433"/>
      <c r="F4" s="4433"/>
      <c r="G4" s="4433"/>
      <c r="H4" s="4433"/>
      <c r="I4" s="4433"/>
      <c r="J4" s="4433"/>
    </row>
    <row r="5" spans="1:16" ht="5.25" customHeight="1"/>
    <row r="6" spans="1:16" ht="5.25" customHeight="1"/>
    <row r="7" spans="1:16" ht="15.75">
      <c r="A7" s="4435" t="s">
        <v>2703</v>
      </c>
      <c r="B7" s="4435"/>
      <c r="C7" s="4436"/>
      <c r="M7" s="4437"/>
      <c r="N7" s="4437"/>
      <c r="O7" s="4437"/>
      <c r="P7" s="4437"/>
    </row>
    <row r="8" spans="1:16" ht="57" customHeight="1">
      <c r="A8" s="4438" t="s">
        <v>6401</v>
      </c>
      <c r="B8" s="4438"/>
      <c r="C8" s="4438"/>
      <c r="D8" s="4438"/>
      <c r="E8" s="4438"/>
      <c r="F8" s="4438"/>
      <c r="G8" s="4438"/>
      <c r="H8" s="4438"/>
      <c r="I8" s="4438"/>
      <c r="J8" s="4438"/>
      <c r="K8" s="580"/>
    </row>
    <row r="9" spans="1:16" ht="45.75" customHeight="1">
      <c r="A9" s="44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Rome, Floyd County, Georgia, with the development of 50 units set aside for HFOP.</v>
      </c>
      <c r="B9" s="4438"/>
      <c r="C9" s="4438"/>
      <c r="D9" s="4438"/>
      <c r="E9" s="4438"/>
      <c r="F9" s="4438"/>
      <c r="G9" s="4438"/>
      <c r="H9" s="4438"/>
      <c r="I9" s="4438"/>
      <c r="J9" s="4438"/>
      <c r="K9" s="580"/>
    </row>
    <row r="10" spans="1:16" ht="15.75">
      <c r="A10" s="581" t="s">
        <v>2704</v>
      </c>
    </row>
    <row r="11" spans="1:16" ht="16.5" customHeight="1">
      <c r="A11" s="4438" t="str">
        <f>'Subsidy Layering Memo'!A50</f>
        <v xml:space="preserve">Ownership entity:  (NAME) LP, a Georgia Limited Partnership, will be the ownership entity for the proposed project. </v>
      </c>
      <c r="B11" s="4440"/>
      <c r="C11" s="4440"/>
      <c r="D11" s="4440"/>
      <c r="E11" s="4440"/>
      <c r="F11" s="4440"/>
      <c r="G11" s="4440"/>
      <c r="H11" s="4440"/>
      <c r="I11" s="4440"/>
      <c r="J11" s="4438"/>
    </row>
    <row r="12" spans="1:16" ht="63.75" customHeight="1">
      <c r="A12" s="44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8"/>
      <c r="C12" s="4438"/>
      <c r="D12" s="4438"/>
      <c r="E12" s="4438"/>
      <c r="F12" s="4438"/>
      <c r="G12" s="4438"/>
      <c r="H12" s="4438"/>
      <c r="I12" s="4438"/>
      <c r="J12" s="4438"/>
    </row>
    <row r="13" spans="1:16" ht="48.75" customHeight="1">
      <c r="A13" s="44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8"/>
      <c r="C13" s="4438"/>
      <c r="D13" s="4438"/>
      <c r="E13" s="4438"/>
      <c r="F13" s="4438"/>
      <c r="G13" s="4438"/>
      <c r="H13" s="4438"/>
      <c r="I13" s="4438"/>
      <c r="J13" s="4438"/>
    </row>
    <row r="14" spans="1:16" ht="15.75">
      <c r="A14" s="581" t="s">
        <v>2705</v>
      </c>
      <c r="B14" s="582"/>
    </row>
    <row r="15" spans="1:16">
      <c r="A15" s="579" t="s">
        <v>2706</v>
      </c>
      <c r="D15" s="1337" t="s">
        <v>2707</v>
      </c>
    </row>
    <row r="16" spans="1:16">
      <c r="A16" s="579" t="s">
        <v>2708</v>
      </c>
      <c r="D16" s="1335">
        <f>'Sensitivity Analysis'!C25</f>
        <v>0</v>
      </c>
    </row>
    <row r="17" spans="1:11">
      <c r="A17" s="583" t="s">
        <v>2709</v>
      </c>
      <c r="D17" s="1336">
        <f>'Sensitivity Analysis'!C13</f>
        <v>50</v>
      </c>
    </row>
    <row r="18" spans="1:11" ht="14.25" customHeight="1"/>
    <row r="19" spans="1:11" ht="15.75">
      <c r="A19" s="581" t="s">
        <v>2710</v>
      </c>
      <c r="B19" s="582"/>
      <c r="C19" s="582"/>
    </row>
    <row r="20" spans="1:11" ht="48.75" customHeight="1">
      <c r="A20" s="44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1"/>
      <c r="C20" s="4441"/>
      <c r="D20" s="4441"/>
      <c r="E20" s="4441"/>
      <c r="F20" s="4441"/>
      <c r="G20" s="4441"/>
      <c r="H20" s="4441"/>
      <c r="I20" s="4441"/>
      <c r="J20" s="4441"/>
    </row>
    <row r="21" spans="1:11" ht="72.75" customHeight="1">
      <c r="A21" s="4438" t="str">
        <f>'Subsidy Layering Memo'!A67</f>
        <v>Affordable Equity Partners, Inc. will make a capital contribution totaling 8404894 via the syndication of the 2021 Federal LIHTC allocation of 998900 per annum.Affordable Equity Partners, Inc. will make a capital contribution totaling 3980617 via the syndication of the 2021 State LIHTC allocation of 998900 per annum.</v>
      </c>
      <c r="B21" s="4438"/>
      <c r="C21" s="4438"/>
      <c r="D21" s="4438"/>
      <c r="E21" s="4438"/>
      <c r="F21" s="4438"/>
      <c r="G21" s="4438"/>
      <c r="H21" s="4438"/>
      <c r="I21" s="4438"/>
      <c r="J21" s="4438"/>
    </row>
    <row r="22" spans="1:11" ht="43.5" customHeight="1">
      <c r="A22" s="4443" t="str">
        <f>'Subsidy Layering Memo'!A68</f>
        <v xml:space="preserve">The total equity price per credit will be 1.24 (0.85 Federal tax credit and 0.39 State tax credit) for a (X%) ownership interest of the Federal Credits and a (X%) ownership interest of the State Credits. </v>
      </c>
      <c r="B22" s="4443"/>
      <c r="C22" s="4443"/>
      <c r="D22" s="4443"/>
      <c r="E22" s="4443"/>
      <c r="F22" s="4443"/>
      <c r="G22" s="4443"/>
      <c r="H22" s="4443"/>
      <c r="I22" s="4443"/>
      <c r="J22" s="4443"/>
    </row>
    <row r="23" spans="1:11" ht="15.75">
      <c r="A23" s="581" t="s">
        <v>6402</v>
      </c>
      <c r="B23" s="582"/>
      <c r="C23" s="582"/>
      <c r="D23" s="582"/>
      <c r="E23" s="582"/>
      <c r="F23" s="582"/>
    </row>
    <row r="24" spans="1:11" ht="102.75" customHeight="1">
      <c r="A24" s="44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2"/>
      <c r="C24" s="4442"/>
      <c r="D24" s="4442"/>
      <c r="E24" s="4442"/>
      <c r="F24" s="4442"/>
      <c r="G24" s="4442"/>
      <c r="H24" s="4442"/>
      <c r="I24" s="4442"/>
      <c r="J24" s="4442"/>
      <c r="K24" s="1088"/>
    </row>
    <row r="25" spans="1:11" ht="15" customHeight="1">
      <c r="A25" s="4439"/>
      <c r="B25" s="4439"/>
      <c r="C25" s="4439"/>
      <c r="D25" s="4439"/>
      <c r="E25" s="4439"/>
      <c r="F25" s="4439"/>
      <c r="G25" s="4439"/>
      <c r="H25" s="4439"/>
      <c r="I25" s="4439"/>
      <c r="J25" s="4439"/>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Sparrow Pointe</v>
      </c>
    </row>
    <row r="13" spans="1:10" ht="15">
      <c r="A13" s="589"/>
      <c r="D13" s="588" t="s">
        <v>2724</v>
      </c>
      <c r="F13" s="1334" t="str">
        <f>'Sensitivity Analysis'!E8</f>
        <v>2021-050</v>
      </c>
    </row>
    <row r="14" spans="1:10" ht="15">
      <c r="A14" s="589"/>
      <c r="D14" s="588" t="s">
        <v>2725</v>
      </c>
      <c r="F14" s="1334" t="str">
        <f>'Sensitivity Analysis'!H8</f>
        <v>Rome, Floyd</v>
      </c>
    </row>
    <row r="15" spans="1:10" ht="15">
      <c r="A15" s="589"/>
      <c r="D15" s="588" t="s">
        <v>3066</v>
      </c>
      <c r="F15" s="4455">
        <f>'Sensitivity Analysis'!$C$25</f>
        <v>0</v>
      </c>
      <c r="G15" s="4455"/>
      <c r="H15" s="4455"/>
    </row>
    <row r="16" spans="1:10" ht="15">
      <c r="A16" s="589"/>
      <c r="D16" s="591" t="s">
        <v>2726</v>
      </c>
      <c r="F16" s="592">
        <f>'Sensitivity Analysis'!C13</f>
        <v>50</v>
      </c>
      <c r="G16" s="593" t="s">
        <v>3067</v>
      </c>
      <c r="H16" s="1038">
        <f>'Sensitivity Analysis'!E13</f>
        <v>50</v>
      </c>
    </row>
    <row r="17" spans="1:18" ht="15">
      <c r="A17" s="589"/>
      <c r="D17" s="591" t="s">
        <v>2691</v>
      </c>
      <c r="F17" s="592" t="str">
        <f>'Sensitivity Analysis'!C14</f>
        <v>HFOP</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6404</v>
      </c>
    </row>
    <row r="22" spans="1:18" ht="111.75" customHeight="1">
      <c r="A22" s="4445" t="s">
        <v>3220</v>
      </c>
      <c r="B22" s="4445"/>
      <c r="C22" s="4445"/>
      <c r="D22" s="4445"/>
      <c r="E22" s="4445"/>
      <c r="F22" s="4445"/>
      <c r="G22" s="4445"/>
      <c r="H22" s="4445"/>
      <c r="I22" s="4445"/>
      <c r="J22" s="4445"/>
      <c r="K22" s="4444" t="s">
        <v>4087</v>
      </c>
      <c r="L22" s="4444"/>
      <c r="M22" s="4444"/>
      <c r="N22" s="4444"/>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6"/>
      <c r="B24" s="4446"/>
      <c r="C24" s="4446"/>
      <c r="D24" s="4446"/>
      <c r="E24" s="4446"/>
      <c r="F24" s="4446"/>
      <c r="G24" s="4446"/>
      <c r="H24" s="4446"/>
      <c r="I24" s="4446"/>
      <c r="J24" s="4446"/>
    </row>
    <row r="25" spans="1:18" ht="10.5" hidden="1" customHeight="1">
      <c r="A25" s="4443"/>
      <c r="B25" s="4443"/>
      <c r="C25" s="4443"/>
      <c r="D25" s="4443"/>
      <c r="E25" s="4443"/>
      <c r="F25" s="4443"/>
      <c r="G25" s="4443"/>
      <c r="H25" s="4443"/>
      <c r="I25" s="4443"/>
      <c r="J25" s="4443"/>
    </row>
    <row r="26" spans="1:18" ht="15">
      <c r="A26" s="594" t="s">
        <v>6403</v>
      </c>
    </row>
    <row r="27" spans="1:18" ht="14.25" customHeight="1">
      <c r="A27" s="4447" t="s">
        <v>6405</v>
      </c>
      <c r="B27" s="4447"/>
      <c r="C27" s="4447"/>
      <c r="D27" s="4447"/>
      <c r="E27" s="4447"/>
      <c r="F27" s="4447"/>
      <c r="G27" s="4447"/>
      <c r="H27" s="4447"/>
      <c r="I27" s="4447"/>
      <c r="J27" s="4447"/>
    </row>
    <row r="28" spans="1:18" ht="14.25" customHeight="1">
      <c r="A28" s="4447"/>
      <c r="B28" s="4447"/>
      <c r="C28" s="4447"/>
      <c r="D28" s="4447"/>
      <c r="E28" s="4447"/>
      <c r="F28" s="4447"/>
      <c r="G28" s="4447"/>
      <c r="H28" s="4447"/>
      <c r="I28" s="4447"/>
      <c r="J28" s="4447"/>
    </row>
    <row r="29" spans="1:18" ht="6.75" customHeight="1">
      <c r="A29" s="4447"/>
      <c r="B29" s="4447"/>
      <c r="C29" s="4447"/>
      <c r="D29" s="4447"/>
      <c r="E29" s="4447"/>
      <c r="F29" s="4447"/>
      <c r="G29" s="4447"/>
      <c r="H29" s="4447"/>
      <c r="I29" s="4447"/>
      <c r="J29" s="4447"/>
    </row>
    <row r="30" spans="1:18" ht="21.75" customHeight="1">
      <c r="A30" s="4447"/>
      <c r="B30" s="4447"/>
      <c r="C30" s="4447"/>
      <c r="D30" s="4447"/>
      <c r="E30" s="4447"/>
      <c r="F30" s="4447"/>
      <c r="G30" s="4447"/>
      <c r="H30" s="4447"/>
      <c r="I30" s="4447"/>
      <c r="J30" s="4447"/>
    </row>
    <row r="31" spans="1:18" ht="20.25" customHeight="1">
      <c r="A31" s="4447"/>
      <c r="B31" s="4447"/>
      <c r="C31" s="4447"/>
      <c r="D31" s="4447"/>
      <c r="E31" s="4447"/>
      <c r="F31" s="4447"/>
      <c r="G31" s="4447"/>
      <c r="H31" s="4447"/>
      <c r="I31" s="4447"/>
      <c r="J31" s="4447"/>
    </row>
    <row r="32" spans="1:18" ht="54.75" customHeight="1">
      <c r="A32" s="4447"/>
      <c r="B32" s="4447"/>
      <c r="C32" s="4447"/>
      <c r="D32" s="4447"/>
      <c r="E32" s="4447"/>
      <c r="F32" s="4447"/>
      <c r="G32" s="4447"/>
      <c r="H32" s="4447"/>
      <c r="I32" s="4447"/>
      <c r="J32" s="4447"/>
    </row>
    <row r="33" spans="1:10" ht="0.75" hidden="1" customHeight="1">
      <c r="A33" s="4447"/>
      <c r="B33" s="4447"/>
      <c r="C33" s="4447"/>
      <c r="D33" s="4447"/>
      <c r="E33" s="4447"/>
      <c r="F33" s="4447"/>
      <c r="G33" s="4447"/>
      <c r="H33" s="4447"/>
      <c r="I33" s="4447"/>
      <c r="J33" s="4447"/>
    </row>
    <row r="34" spans="1:10" ht="3.75" hidden="1" customHeight="1">
      <c r="A34" s="4447"/>
      <c r="B34" s="4447"/>
      <c r="C34" s="4447"/>
      <c r="D34" s="4447"/>
      <c r="E34" s="4447"/>
      <c r="F34" s="4447"/>
      <c r="G34" s="4447"/>
      <c r="H34" s="4447"/>
      <c r="I34" s="4447"/>
      <c r="J34" s="4447"/>
    </row>
    <row r="35" spans="1:10" ht="5.25" customHeight="1">
      <c r="A35" s="1330"/>
      <c r="B35" s="1330"/>
      <c r="C35" s="1330"/>
      <c r="D35" s="1330"/>
      <c r="E35" s="1330"/>
      <c r="F35" s="1330"/>
      <c r="G35" s="1330"/>
      <c r="H35" s="1330"/>
      <c r="I35" s="1330"/>
      <c r="J35" s="1330"/>
    </row>
    <row r="36" spans="1:10" ht="19.5" customHeight="1">
      <c r="A36" s="4446" t="s">
        <v>6406</v>
      </c>
      <c r="B36" s="4446"/>
      <c r="C36" s="4446"/>
      <c r="D36" s="1328"/>
      <c r="E36" s="1328"/>
      <c r="F36" s="1328"/>
      <c r="G36" s="1328"/>
      <c r="H36" s="1328"/>
      <c r="I36" s="1328"/>
      <c r="J36" s="1328"/>
    </row>
    <row r="37" spans="1:10" ht="22.5" customHeight="1">
      <c r="A37" s="4443" t="s">
        <v>1658</v>
      </c>
      <c r="B37" s="4443"/>
      <c r="C37" s="4443"/>
      <c r="D37" s="4443"/>
      <c r="E37" s="4443"/>
      <c r="F37" s="4443"/>
      <c r="G37" s="4443"/>
      <c r="H37" s="4443"/>
      <c r="I37" s="4443"/>
      <c r="J37" s="4443"/>
    </row>
    <row r="38" spans="1:10" ht="22.5" customHeight="1">
      <c r="A38" s="4443" t="s">
        <v>1659</v>
      </c>
      <c r="B38" s="4443"/>
      <c r="C38" s="4443"/>
      <c r="D38" s="4443"/>
      <c r="E38" s="4443"/>
      <c r="F38" s="4443"/>
      <c r="G38" s="4443"/>
      <c r="H38" s="4443"/>
      <c r="I38" s="4443"/>
      <c r="J38" s="4443"/>
    </row>
    <row r="39" spans="1:10" ht="22.5" customHeight="1">
      <c r="A39" s="4443" t="s">
        <v>1660</v>
      </c>
      <c r="B39" s="4443"/>
      <c r="C39" s="4443"/>
      <c r="D39" s="4443"/>
      <c r="E39" s="4443"/>
      <c r="F39" s="4443"/>
      <c r="G39" s="4443"/>
      <c r="H39" s="4443"/>
      <c r="I39" s="4443"/>
      <c r="J39" s="4443"/>
    </row>
    <row r="40" spans="1:10" ht="22.5" customHeight="1">
      <c r="A40" s="4443" t="s">
        <v>2260</v>
      </c>
      <c r="B40" s="4443"/>
      <c r="C40" s="4443"/>
      <c r="D40" s="4443"/>
      <c r="E40" s="4443"/>
      <c r="F40" s="4443"/>
      <c r="G40" s="4443"/>
      <c r="H40" s="4443"/>
      <c r="I40" s="4443"/>
      <c r="J40" s="4443"/>
    </row>
    <row r="41" spans="1:10" ht="22.5" customHeight="1">
      <c r="A41" s="4443" t="s">
        <v>1487</v>
      </c>
      <c r="B41" s="4443"/>
      <c r="C41" s="4443"/>
      <c r="D41" s="4443"/>
      <c r="E41" s="4443"/>
      <c r="F41" s="4443"/>
      <c r="G41" s="4443"/>
      <c r="H41" s="4443"/>
      <c r="I41" s="4443"/>
      <c r="J41" s="4443"/>
    </row>
    <row r="42" spans="1:10" ht="22.5" customHeight="1">
      <c r="A42" s="4443" t="s">
        <v>1488</v>
      </c>
      <c r="B42" s="4443"/>
      <c r="C42" s="4443"/>
      <c r="D42" s="4443"/>
      <c r="E42" s="4443"/>
      <c r="F42" s="4443"/>
      <c r="G42" s="4443"/>
      <c r="H42" s="4443"/>
      <c r="I42" s="4443"/>
      <c r="J42" s="4443"/>
    </row>
    <row r="43" spans="1:10" ht="22.5" customHeight="1">
      <c r="A43" s="4443" t="s">
        <v>92</v>
      </c>
      <c r="B43" s="4443"/>
      <c r="C43" s="4443"/>
      <c r="D43" s="4443"/>
      <c r="E43" s="4443"/>
      <c r="F43" s="4443"/>
      <c r="G43" s="4443"/>
      <c r="H43" s="4443"/>
      <c r="I43" s="4443"/>
      <c r="J43" s="4443"/>
    </row>
    <row r="44" spans="1:10" ht="22.5" customHeight="1">
      <c r="A44" s="4443" t="s">
        <v>489</v>
      </c>
      <c r="B44" s="4443"/>
      <c r="C44" s="4443"/>
      <c r="D44" s="4443"/>
      <c r="E44" s="4443"/>
      <c r="F44" s="4443"/>
      <c r="G44" s="4443"/>
      <c r="H44" s="4443"/>
      <c r="I44" s="4443"/>
      <c r="J44" s="4443"/>
    </row>
    <row r="45" spans="1:10" ht="2.25" customHeight="1">
      <c r="A45" s="1328"/>
      <c r="B45" s="1328"/>
      <c r="C45" s="1328"/>
      <c r="D45" s="1328"/>
      <c r="E45" s="1328"/>
      <c r="F45" s="1328"/>
      <c r="G45" s="1328"/>
      <c r="H45" s="1328"/>
      <c r="I45" s="1328"/>
      <c r="J45" s="1328"/>
    </row>
    <row r="46" spans="1:10" ht="15">
      <c r="A46" s="594" t="s">
        <v>2727</v>
      </c>
    </row>
    <row r="47" spans="1:10" ht="135" customHeight="1">
      <c r="A47" s="4443" t="s">
        <v>6407</v>
      </c>
      <c r="B47" s="4443"/>
      <c r="C47" s="4443"/>
      <c r="D47" s="4443"/>
      <c r="E47" s="4443"/>
      <c r="F47" s="4443"/>
      <c r="G47" s="4443"/>
      <c r="H47" s="4443"/>
      <c r="I47" s="4443"/>
      <c r="J47" s="4443"/>
    </row>
    <row r="48" spans="1:10" ht="6" customHeight="1">
      <c r="A48" s="1329"/>
      <c r="B48" s="1329"/>
      <c r="C48" s="1329"/>
      <c r="D48" s="1329"/>
      <c r="E48" s="1329"/>
      <c r="F48" s="1329"/>
      <c r="G48" s="1329"/>
      <c r="H48" s="1329"/>
      <c r="I48" s="1329"/>
      <c r="J48" s="1329"/>
    </row>
    <row r="49" spans="1:12" ht="15">
      <c r="A49" s="594" t="s">
        <v>2728</v>
      </c>
    </row>
    <row r="50" spans="1:12" ht="33" customHeight="1">
      <c r="A50" s="4438" t="s">
        <v>3605</v>
      </c>
      <c r="B50" s="4440"/>
      <c r="C50" s="4440"/>
      <c r="D50" s="4440"/>
      <c r="E50" s="4440"/>
      <c r="F50" s="4440"/>
      <c r="G50" s="4440"/>
      <c r="H50" s="4440"/>
      <c r="I50" s="4440"/>
      <c r="J50" s="4438"/>
    </row>
    <row r="51" spans="1:12" ht="3" customHeight="1"/>
    <row r="52" spans="1:12" ht="72.75" customHeight="1">
      <c r="A52" s="4438" t="s">
        <v>3606</v>
      </c>
      <c r="B52" s="4438"/>
      <c r="C52" s="4438"/>
      <c r="D52" s="4438"/>
      <c r="E52" s="4438"/>
      <c r="F52" s="4438"/>
      <c r="G52" s="4438"/>
      <c r="H52" s="4438"/>
      <c r="I52" s="4438"/>
      <c r="J52" s="4438"/>
    </row>
    <row r="53" spans="1:12" ht="3" customHeight="1">
      <c r="A53" s="1328"/>
      <c r="B53" s="1328"/>
      <c r="C53" s="1328"/>
      <c r="D53" s="1328"/>
      <c r="E53" s="1328"/>
      <c r="F53" s="1328"/>
      <c r="G53" s="1328"/>
      <c r="H53" s="1328"/>
      <c r="I53" s="1328"/>
      <c r="J53" s="1328"/>
    </row>
    <row r="54" spans="1:12" ht="56.25" customHeight="1">
      <c r="A54" s="4438" t="s">
        <v>3607</v>
      </c>
      <c r="B54" s="4438"/>
      <c r="C54" s="4438"/>
      <c r="D54" s="4438"/>
      <c r="E54" s="4438"/>
      <c r="F54" s="4438"/>
      <c r="G54" s="4438"/>
      <c r="H54" s="4438"/>
      <c r="I54" s="4438"/>
      <c r="J54" s="4438"/>
    </row>
    <row r="55" spans="1:12" ht="3" customHeight="1">
      <c r="A55" s="1328"/>
      <c r="B55" s="1328"/>
      <c r="C55" s="1328"/>
      <c r="D55" s="1328"/>
      <c r="E55" s="1328"/>
      <c r="F55" s="1328"/>
      <c r="G55" s="1328"/>
      <c r="H55" s="1328"/>
      <c r="I55" s="1328"/>
      <c r="J55" s="1328"/>
    </row>
    <row r="56" spans="1:12" ht="49.5" customHeight="1">
      <c r="A56" s="4438" t="s">
        <v>3608</v>
      </c>
      <c r="B56" s="4438"/>
      <c r="C56" s="4438"/>
      <c r="D56" s="4438"/>
      <c r="E56" s="4438"/>
      <c r="F56" s="4438"/>
      <c r="G56" s="4438"/>
      <c r="H56" s="4438"/>
      <c r="I56" s="4438"/>
      <c r="J56" s="1328"/>
    </row>
    <row r="57" spans="1:12" ht="3" customHeight="1">
      <c r="A57" s="1328"/>
      <c r="B57" s="1328"/>
      <c r="C57" s="1328"/>
      <c r="D57" s="1328"/>
      <c r="E57" s="1328"/>
      <c r="F57" s="1328"/>
      <c r="G57" s="1328"/>
      <c r="H57" s="1328"/>
      <c r="I57" s="1328"/>
      <c r="J57" s="1328"/>
    </row>
    <row r="58" spans="1:12" ht="54.75" customHeight="1">
      <c r="A58" s="4460" t="s">
        <v>3076</v>
      </c>
      <c r="B58" s="4451"/>
      <c r="C58" s="4451"/>
      <c r="D58" s="4451"/>
      <c r="E58" s="4451"/>
      <c r="F58" s="4451"/>
      <c r="G58" s="4451"/>
      <c r="H58" s="4451"/>
      <c r="I58" s="4451"/>
      <c r="J58" s="1328"/>
    </row>
    <row r="59" spans="1:12" ht="3" customHeight="1">
      <c r="A59" s="1328"/>
      <c r="B59" s="1328"/>
      <c r="C59" s="1328"/>
      <c r="D59" s="1328"/>
      <c r="E59" s="1328"/>
      <c r="F59" s="1328"/>
      <c r="G59" s="1328"/>
      <c r="H59" s="1328"/>
      <c r="I59" s="1328"/>
      <c r="J59" s="1328"/>
    </row>
    <row r="60" spans="1:12" ht="62.25" customHeight="1">
      <c r="A60" s="4451" t="s">
        <v>3609</v>
      </c>
      <c r="B60" s="4451"/>
      <c r="C60" s="4451"/>
      <c r="D60" s="4451"/>
      <c r="E60" s="4451"/>
      <c r="F60" s="4451"/>
      <c r="G60" s="4451"/>
      <c r="H60" s="4451"/>
      <c r="I60" s="4451"/>
      <c r="J60" s="4451"/>
    </row>
    <row r="61" spans="1:12" ht="3" customHeight="1"/>
    <row r="62" spans="1:12" ht="73.5" customHeight="1">
      <c r="A62" s="4438" t="s">
        <v>3610</v>
      </c>
      <c r="B62" s="4438"/>
      <c r="C62" s="4438"/>
      <c r="D62" s="4438"/>
      <c r="E62" s="4438"/>
      <c r="F62" s="4438"/>
      <c r="G62" s="4438"/>
      <c r="H62" s="4438"/>
      <c r="I62" s="4438"/>
      <c r="J62" s="4438"/>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45" t="s">
        <v>2730</v>
      </c>
      <c r="B65" s="4445"/>
      <c r="C65" s="4445"/>
      <c r="D65" s="4445"/>
      <c r="E65" s="4445"/>
      <c r="F65" s="4445"/>
      <c r="G65" s="4445"/>
      <c r="H65" s="4445"/>
      <c r="I65" s="4445"/>
      <c r="J65" s="4445"/>
      <c r="L65" s="596">
        <f>'Closing term sheet'!C135</f>
        <v>599142.5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8404894 via the syndication of the 2021 Federal LIHTC allocation of 998900 per annum.Affordable Equity Partners, Inc. will make a capital contribution totaling 3980617 via the syndication of the 2021 State LIHTC allocation of 998900 per annum.</v>
      </c>
      <c r="B67" s="4451"/>
      <c r="C67" s="4451"/>
      <c r="D67" s="4451"/>
      <c r="E67" s="4451"/>
      <c r="F67" s="4451"/>
      <c r="G67" s="4451"/>
      <c r="H67" s="4451"/>
      <c r="I67" s="4451"/>
      <c r="J67" s="601"/>
      <c r="L67" s="602">
        <f>'Part III-Sources of Funds'!I51</f>
        <v>8404894</v>
      </c>
      <c r="M67" s="603">
        <f>'Part IV-A-Uses of Funds'!$J$197</f>
        <v>998900</v>
      </c>
      <c r="N67" s="604">
        <f>'Part IV-A-Uses of Funds'!N188</f>
        <v>0.85</v>
      </c>
      <c r="O67" s="602">
        <f>'Part III-Sources of Funds'!I52</f>
        <v>3980617</v>
      </c>
      <c r="P67" s="603">
        <f>M67</f>
        <v>998900</v>
      </c>
      <c r="Q67" s="604">
        <f>'Part IV-A-Uses of Funds'!Q188</f>
        <v>0.39</v>
      </c>
    </row>
    <row r="68" spans="1:17" ht="39.75" customHeight="1">
      <c r="A68" s="44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461"/>
      <c r="C68" s="4461"/>
      <c r="D68" s="4461"/>
      <c r="E68" s="4461"/>
      <c r="F68" s="4461"/>
      <c r="G68" s="4461"/>
      <c r="H68" s="4461"/>
      <c r="I68" s="4461"/>
      <c r="J68" s="601"/>
      <c r="L68" s="1631"/>
      <c r="M68" s="1631"/>
      <c r="N68" s="1632"/>
      <c r="O68" s="1631"/>
      <c r="P68" s="1631"/>
      <c r="Q68" s="1632"/>
    </row>
    <row r="69" spans="1:17" ht="18.75" customHeight="1">
      <c r="A69" s="605" t="s">
        <v>2731</v>
      </c>
    </row>
    <row r="70" spans="1:17" ht="177" customHeight="1">
      <c r="A70" s="4451" t="s">
        <v>6408</v>
      </c>
      <c r="B70" s="4451"/>
      <c r="C70" s="4451"/>
      <c r="D70" s="4451"/>
      <c r="E70" s="4451"/>
      <c r="F70" s="4451"/>
      <c r="G70" s="4451"/>
      <c r="H70" s="4451"/>
      <c r="I70" s="4451"/>
      <c r="J70" s="4451"/>
      <c r="L70" s="606" t="str">
        <f>'Part VII-Pro Forma'!K72</f>
        <v/>
      </c>
      <c r="M70" s="4453" t="s">
        <v>3219</v>
      </c>
      <c r="N70" s="4454"/>
    </row>
    <row r="71" spans="1:17" ht="6" customHeight="1">
      <c r="A71" s="594"/>
    </row>
    <row r="72" spans="1:17" ht="15">
      <c r="A72" s="594" t="s">
        <v>2732</v>
      </c>
    </row>
    <row r="73" spans="1:17" ht="72.599999999999994" customHeight="1">
      <c r="A73" s="4451" t="s">
        <v>2733</v>
      </c>
      <c r="B73" s="4451"/>
      <c r="C73" s="4451"/>
      <c r="D73" s="4451"/>
      <c r="E73" s="4451"/>
      <c r="F73" s="4451"/>
      <c r="G73" s="4451"/>
      <c r="H73" s="4451"/>
      <c r="I73" s="4451"/>
      <c r="J73" s="4451"/>
    </row>
    <row r="74" spans="1:17" ht="36" customHeight="1">
      <c r="A74" s="4451" t="s">
        <v>2734</v>
      </c>
      <c r="B74" s="4451"/>
      <c r="C74" s="4451"/>
      <c r="D74" s="4451"/>
      <c r="E74" s="4451"/>
      <c r="F74" s="4451"/>
      <c r="G74" s="4451"/>
      <c r="H74" s="4451"/>
      <c r="I74" s="4451"/>
      <c r="J74" s="4451"/>
    </row>
    <row r="75" spans="1:17" ht="6" customHeight="1">
      <c r="A75" s="594"/>
    </row>
    <row r="76" spans="1:17" ht="15">
      <c r="A76" s="594" t="s">
        <v>2735</v>
      </c>
    </row>
    <row r="77" spans="1:17" ht="105.75" customHeight="1">
      <c r="A77" s="4438" t="s">
        <v>2736</v>
      </c>
      <c r="B77" s="4438"/>
      <c r="C77" s="4438"/>
      <c r="D77" s="4438"/>
      <c r="E77" s="4438"/>
      <c r="F77" s="4438"/>
      <c r="G77" s="4438"/>
      <c r="H77" s="4438"/>
      <c r="I77" s="4438"/>
      <c r="J77" s="4438"/>
    </row>
    <row r="78" spans="1:17" ht="6" customHeight="1">
      <c r="A78" s="594"/>
    </row>
    <row r="79" spans="1:17" ht="15">
      <c r="A79" s="594" t="s">
        <v>2737</v>
      </c>
    </row>
    <row r="80" spans="1:17" ht="66" customHeight="1">
      <c r="A80" s="4438" t="s">
        <v>2738</v>
      </c>
      <c r="B80" s="4438"/>
      <c r="C80" s="4438"/>
      <c r="D80" s="4438"/>
      <c r="E80" s="4438"/>
      <c r="F80" s="4438"/>
      <c r="G80" s="4438"/>
      <c r="H80" s="4438"/>
      <c r="I80" s="4438"/>
      <c r="J80" s="4438"/>
    </row>
    <row r="81" spans="1:15" s="1330" customFormat="1" ht="6" customHeight="1">
      <c r="A81" s="4438"/>
      <c r="B81" s="4438"/>
      <c r="C81" s="4438"/>
      <c r="D81" s="4438"/>
      <c r="E81" s="4438"/>
      <c r="F81" s="4438"/>
      <c r="G81" s="4438"/>
      <c r="H81" s="4438"/>
      <c r="I81" s="4438"/>
      <c r="J81" s="4438"/>
    </row>
    <row r="82" spans="1:15" ht="16.5" customHeight="1">
      <c r="A82" s="1332" t="s">
        <v>2739</v>
      </c>
      <c r="B82" s="593"/>
      <c r="C82" s="593"/>
      <c r="D82" s="1334"/>
      <c r="E82" s="593"/>
      <c r="F82" s="593"/>
      <c r="G82" s="593"/>
      <c r="H82" s="593"/>
      <c r="I82" s="593"/>
      <c r="J82" s="607"/>
    </row>
    <row r="83" spans="1:15" s="1330" customFormat="1" ht="63" customHeight="1">
      <c r="A83" s="4438" t="s">
        <v>3812</v>
      </c>
      <c r="B83" s="4438"/>
      <c r="C83" s="4438"/>
      <c r="D83" s="4438"/>
      <c r="E83" s="4438"/>
      <c r="F83" s="4438"/>
      <c r="G83" s="4438"/>
      <c r="H83" s="4438"/>
      <c r="I83" s="4438"/>
      <c r="J83" s="4438"/>
    </row>
    <row r="84" spans="1:15" s="1330" customFormat="1" ht="6" customHeight="1">
      <c r="A84" s="1328"/>
      <c r="B84" s="1328"/>
      <c r="C84" s="1328"/>
      <c r="D84" s="1328"/>
      <c r="E84" s="1328"/>
      <c r="F84" s="1328"/>
      <c r="G84" s="1328"/>
      <c r="H84" s="1328"/>
      <c r="I84" s="1328"/>
      <c r="J84" s="1328"/>
    </row>
    <row r="85" spans="1:15" ht="16.5" customHeight="1">
      <c r="A85" s="4449" t="s">
        <v>2740</v>
      </c>
      <c r="B85" s="4450"/>
      <c r="C85" s="4450"/>
      <c r="D85" s="593"/>
      <c r="E85" s="593"/>
      <c r="F85" s="593"/>
      <c r="G85" s="593"/>
      <c r="H85" s="593"/>
      <c r="I85" s="593"/>
      <c r="J85" s="607"/>
    </row>
    <row r="86" spans="1:15" ht="41.25" customHeight="1">
      <c r="A86" s="4451" t="s">
        <v>6409</v>
      </c>
      <c r="B86" s="4452"/>
      <c r="C86" s="4452"/>
      <c r="D86" s="4452"/>
      <c r="E86" s="4452"/>
      <c r="F86" s="4452"/>
      <c r="G86" s="4452"/>
      <c r="H86" s="4452"/>
      <c r="I86" s="4452"/>
      <c r="J86" s="4452"/>
    </row>
    <row r="87" spans="1:15" ht="6" customHeight="1">
      <c r="A87" s="608"/>
      <c r="B87" s="593"/>
      <c r="C87" s="593"/>
      <c r="D87" s="593"/>
      <c r="E87" s="593"/>
      <c r="F87" s="593"/>
      <c r="G87" s="593"/>
      <c r="H87" s="593"/>
      <c r="I87" s="593"/>
      <c r="J87" s="607"/>
    </row>
    <row r="88" spans="1:15" ht="15">
      <c r="A88" s="594" t="s">
        <v>2741</v>
      </c>
    </row>
    <row r="89" spans="1:15" ht="124.15" customHeight="1">
      <c r="A89" s="4451" t="s">
        <v>2742</v>
      </c>
      <c r="B89" s="4451"/>
      <c r="C89" s="4451"/>
      <c r="D89" s="4451"/>
      <c r="E89" s="4451"/>
      <c r="F89" s="4451"/>
      <c r="G89" s="4451"/>
      <c r="H89" s="4451"/>
      <c r="I89" s="4451"/>
      <c r="J89" s="4451"/>
      <c r="L89" s="4444" t="s">
        <v>2743</v>
      </c>
      <c r="M89" s="4444"/>
      <c r="N89" s="4444"/>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1" t="s">
        <v>2745</v>
      </c>
      <c r="B92" s="4451"/>
      <c r="C92" s="4451"/>
      <c r="D92" s="4451"/>
      <c r="E92" s="4451"/>
      <c r="F92" s="4451"/>
      <c r="G92" s="4451"/>
      <c r="H92" s="4451"/>
      <c r="I92" s="4451"/>
      <c r="J92" s="4451"/>
      <c r="L92" s="4444" t="s">
        <v>2746</v>
      </c>
      <c r="M92" s="4444"/>
      <c r="N92" s="609" t="e">
        <f>'After-Tax Analysis'!G66</f>
        <v>#VALUE!</v>
      </c>
      <c r="O92" s="610" t="s">
        <v>2747</v>
      </c>
    </row>
    <row r="93" spans="1:15" ht="6" customHeight="1">
      <c r="A93" s="594"/>
    </row>
    <row r="94" spans="1:15" ht="15">
      <c r="A94" s="594" t="s">
        <v>2748</v>
      </c>
    </row>
    <row r="95" spans="1:15" ht="118.5" customHeight="1">
      <c r="A95" s="4438" t="s">
        <v>2749</v>
      </c>
      <c r="B95" s="4438"/>
      <c r="C95" s="4438"/>
      <c r="D95" s="4438"/>
      <c r="E95" s="4438"/>
      <c r="F95" s="4438"/>
      <c r="G95" s="4438"/>
      <c r="H95" s="4438"/>
      <c r="I95" s="4438"/>
      <c r="J95" s="4438"/>
    </row>
    <row r="96" spans="1:15" ht="20.25" customHeight="1">
      <c r="A96" s="4440" t="s">
        <v>2750</v>
      </c>
      <c r="B96" s="4440"/>
      <c r="C96" s="4440"/>
      <c r="D96" s="4438"/>
      <c r="E96" s="1328"/>
      <c r="F96" s="1328"/>
      <c r="G96" s="1328"/>
      <c r="H96" s="1328"/>
      <c r="I96" s="1328"/>
      <c r="J96" s="1328"/>
    </row>
    <row r="97" spans="1:14" ht="109.5" customHeight="1">
      <c r="A97" s="4458" t="s">
        <v>2751</v>
      </c>
      <c r="B97" s="4459"/>
      <c r="C97" s="4459"/>
      <c r="D97" s="4459"/>
      <c r="E97" s="4459"/>
      <c r="F97" s="4459"/>
      <c r="G97" s="4459"/>
      <c r="H97" s="4459"/>
      <c r="I97" s="4459"/>
      <c r="J97" s="4459"/>
    </row>
    <row r="98" spans="1:14" ht="11.25" customHeight="1">
      <c r="A98" s="594"/>
    </row>
    <row r="99" spans="1:14" ht="15">
      <c r="A99" s="594" t="s">
        <v>2752</v>
      </c>
    </row>
    <row r="100" spans="1:14" ht="110.45" customHeight="1">
      <c r="A100" s="4445" t="s">
        <v>2753</v>
      </c>
      <c r="B100" s="4445"/>
      <c r="C100" s="4445"/>
      <c r="D100" s="4445"/>
      <c r="E100" s="4445"/>
      <c r="F100" s="4445"/>
      <c r="G100" s="4445"/>
      <c r="H100" s="4445"/>
      <c r="I100" s="4445"/>
      <c r="J100" s="4445"/>
      <c r="L100" s="1041" t="str">
        <f>'Part VII-Pro Forma'!K72</f>
        <v/>
      </c>
      <c r="M100" s="4448" t="s">
        <v>2754</v>
      </c>
      <c r="N100" s="4448"/>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0" t="s">
        <v>2755</v>
      </c>
      <c r="B104" s="4440"/>
      <c r="C104" s="4440"/>
      <c r="D104" s="1328"/>
      <c r="E104" s="1328"/>
      <c r="F104" s="1328"/>
      <c r="G104" s="1328"/>
      <c r="H104" s="1328"/>
      <c r="I104" s="1328"/>
      <c r="J104" s="607"/>
    </row>
    <row r="105" spans="1:14" ht="37.5" customHeight="1">
      <c r="A105" s="4451" t="s">
        <v>2756</v>
      </c>
      <c r="B105" s="4451"/>
      <c r="C105" s="4451"/>
      <c r="D105" s="4451"/>
      <c r="E105" s="4451"/>
      <c r="F105" s="4451"/>
      <c r="G105" s="4451"/>
      <c r="H105" s="4451"/>
      <c r="I105" s="4451"/>
      <c r="J105" s="4451"/>
    </row>
    <row r="106" spans="1:14" ht="6" customHeight="1">
      <c r="A106" s="594"/>
    </row>
    <row r="107" spans="1:14" ht="15">
      <c r="A107" s="594" t="s">
        <v>2757</v>
      </c>
    </row>
    <row r="108" spans="1:14" ht="43.5" customHeight="1">
      <c r="A108" s="4438" t="s">
        <v>2758</v>
      </c>
      <c r="B108" s="4438"/>
      <c r="C108" s="4438"/>
      <c r="D108" s="4438"/>
      <c r="E108" s="4438"/>
      <c r="F108" s="4438"/>
      <c r="G108" s="4438"/>
      <c r="H108" s="4438"/>
      <c r="I108" s="4438"/>
      <c r="J108" s="4438"/>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6" t="s">
        <v>6273</v>
      </c>
      <c r="B120" s="4456"/>
      <c r="C120" s="4456"/>
      <c r="D120" s="4456"/>
      <c r="E120" s="4457"/>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2021-050  Sparrow Pointe</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2767</v>
      </c>
      <c r="B8" s="582"/>
      <c r="C8" s="4462" t="str">
        <f>'Part I-Project Information'!F35</f>
        <v>Sparrow Pointe</v>
      </c>
      <c r="D8" s="4462"/>
      <c r="E8" s="1089" t="str">
        <f>'Part I-Project Information'!O7</f>
        <v>2021-050</v>
      </c>
      <c r="F8" s="618" t="s">
        <v>2768</v>
      </c>
      <c r="G8" s="617"/>
      <c r="H8" s="4462" t="str">
        <f>CONCATENATE('Part I-Project Information'!F39,", ",'Part I-Project Information'!J40)</f>
        <v>Rome, Floyd</v>
      </c>
      <c r="I8" s="4462"/>
      <c r="J8" s="4462"/>
      <c r="K8" s="4462"/>
      <c r="L8" s="579"/>
      <c r="M8" s="619"/>
    </row>
    <row r="9" spans="1:14" ht="15.75">
      <c r="A9" s="582" t="s">
        <v>2770</v>
      </c>
      <c r="B9" s="582"/>
      <c r="C9" s="4462" t="s">
        <v>1691</v>
      </c>
      <c r="D9" s="4462"/>
      <c r="E9" s="617"/>
      <c r="F9" s="618" t="s">
        <v>2771</v>
      </c>
      <c r="G9" s="617"/>
      <c r="H9" s="4462" t="str">
        <f>'Part II-Development Team'!H6</f>
        <v>Sparrow Pointe Housing, LP</v>
      </c>
      <c r="I9" s="4462"/>
      <c r="J9" s="4462"/>
      <c r="K9" s="4462"/>
      <c r="L9" s="4462"/>
      <c r="M9" s="619"/>
    </row>
    <row r="10" spans="1:14" ht="15.75">
      <c r="A10" s="582" t="s">
        <v>2773</v>
      </c>
      <c r="B10" s="579"/>
      <c r="C10" s="1089" t="str">
        <f>'Part II-Development Team'!H15</f>
        <v>Sparrow Pointe Housing GP, LLC</v>
      </c>
      <c r="D10" s="617"/>
      <c r="E10" s="617"/>
      <c r="F10" s="618" t="s">
        <v>3253</v>
      </c>
      <c r="G10" s="617"/>
      <c r="H10" s="4462" t="str">
        <f>'Part II-Development Team'!H34</f>
        <v>Affordable Equity Partners, Inc.</v>
      </c>
      <c r="I10" s="4462"/>
      <c r="J10" s="4462"/>
      <c r="K10" s="4462" t="str">
        <f>'Part II-Development Team'!H40</f>
        <v>Affordable Equity Partners, Inc.</v>
      </c>
      <c r="L10" s="4462"/>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2" t="str">
        <f>'Part II-Development Team'!H55</f>
        <v>DDER Development, LLC</v>
      </c>
      <c r="I11" s="4462"/>
      <c r="J11" s="4462"/>
      <c r="K11" s="4462">
        <f>'Part II-Development Team'!H61</f>
        <v>0</v>
      </c>
      <c r="L11" s="4462"/>
      <c r="M11" s="4462">
        <f>'Part II-Development Team'!H67</f>
        <v>0</v>
      </c>
      <c r="N11" s="4462"/>
    </row>
    <row r="12" spans="1:14" ht="15.75">
      <c r="A12" s="582" t="s">
        <v>2775</v>
      </c>
      <c r="B12" s="579"/>
      <c r="C12" s="1089" t="str">
        <f>'Part II-Development Team'!H87</f>
        <v>Fairway Construction Company, Inc.</v>
      </c>
      <c r="D12" s="617"/>
      <c r="E12" s="617"/>
      <c r="F12" s="618" t="s">
        <v>2776</v>
      </c>
      <c r="G12" s="617"/>
      <c r="H12" s="4462" t="str">
        <f>'Part II-Development Team'!H93</f>
        <v>Fairway Management Co, Inc.</v>
      </c>
      <c r="I12" s="4462"/>
      <c r="J12" s="4462"/>
      <c r="K12" s="4462"/>
      <c r="L12" s="579"/>
      <c r="M12" s="579"/>
    </row>
    <row r="13" spans="1:14" ht="15.75">
      <c r="A13" s="582" t="s">
        <v>2777</v>
      </c>
      <c r="B13" s="618"/>
      <c r="C13" s="578">
        <f>'Part VI-Revenues &amp; Expenses'!$P$67</f>
        <v>50</v>
      </c>
      <c r="E13" s="1036">
        <f>'Part VI-Revenues &amp; Expenses'!$P$63</f>
        <v>50</v>
      </c>
      <c r="F13" s="618" t="s">
        <v>3604</v>
      </c>
      <c r="G13" s="617"/>
      <c r="H13" s="1090">
        <f>'Part I-Project Information'!H71</f>
        <v>1</v>
      </c>
      <c r="I13" s="1037"/>
      <c r="J13" s="1037"/>
      <c r="K13" s="1090">
        <f>'Part I-Project Information'!P70</f>
        <v>56125</v>
      </c>
      <c r="L13" s="579"/>
      <c r="M13" s="579"/>
    </row>
    <row r="14" spans="1:14" ht="15.75">
      <c r="A14" s="582" t="s">
        <v>3069</v>
      </c>
      <c r="B14" s="579"/>
      <c r="C14" s="1090" t="str">
        <f>'Part I-Project Information'!H77</f>
        <v>HFOP</v>
      </c>
      <c r="D14" s="4462" t="str">
        <f>IF('Part I-Project Information'!N69=0,"",'Part I-Project Information'!N69)</f>
        <v/>
      </c>
      <c r="E14" s="4462"/>
      <c r="F14" s="618" t="s">
        <v>2778</v>
      </c>
      <c r="G14" s="617"/>
      <c r="H14" s="4463" t="s">
        <v>3221</v>
      </c>
      <c r="I14" s="4463"/>
      <c r="J14" s="4463"/>
      <c r="K14" s="4463" t="s">
        <v>3221</v>
      </c>
      <c r="L14" s="4463"/>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3248</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12387336</v>
      </c>
      <c r="D18" s="1071">
        <f>IF(C18=0,"",$C$29/C18)</f>
        <v>0</v>
      </c>
      <c r="E18" s="617" t="s">
        <v>3073</v>
      </c>
      <c r="F18" s="618" t="s">
        <v>3074</v>
      </c>
      <c r="G18" s="617"/>
      <c r="H18" s="4464">
        <f>'Part IV-A-Uses of Funds'!C49</f>
        <v>8135246</v>
      </c>
      <c r="I18" s="4464"/>
      <c r="J18" s="1070">
        <f>IF(H18=0,"",$C$29/H18)</f>
        <v>0</v>
      </c>
      <c r="K18" s="4462" t="s">
        <v>3075</v>
      </c>
      <c r="L18" s="4462"/>
      <c r="M18" s="579"/>
    </row>
    <row r="19" spans="1:13" ht="15.75">
      <c r="A19" s="582" t="s">
        <v>2780</v>
      </c>
      <c r="B19" s="579"/>
      <c r="C19" s="1091">
        <f>C18/C13</f>
        <v>247746.72</v>
      </c>
      <c r="D19" s="617"/>
      <c r="E19" s="579"/>
      <c r="F19" s="582" t="s">
        <v>2780</v>
      </c>
      <c r="G19" s="579"/>
      <c r="H19" s="4465">
        <f>H18/C13</f>
        <v>162704.92000000001</v>
      </c>
      <c r="I19" s="4465"/>
      <c r="J19" s="579"/>
      <c r="K19" s="579"/>
      <c r="L19" s="579"/>
      <c r="M19" s="579"/>
    </row>
    <row r="20" spans="1:13" ht="15.75">
      <c r="A20" s="582" t="s">
        <v>2781</v>
      </c>
      <c r="B20" s="579"/>
      <c r="C20" s="1093">
        <f>C18/K13</f>
        <v>220.70977282850779</v>
      </c>
      <c r="D20" s="622"/>
      <c r="E20" s="623"/>
      <c r="F20" s="582" t="s">
        <v>2781</v>
      </c>
      <c r="G20" s="579"/>
      <c r="H20" s="4466">
        <f>H18/K13</f>
        <v>144.94870378619154</v>
      </c>
      <c r="I20" s="4465"/>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12385511</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v>
      </c>
      <c r="D40" s="579"/>
      <c r="E40" s="579"/>
      <c r="F40" s="582"/>
      <c r="G40" s="582" t="s">
        <v>2801</v>
      </c>
      <c r="H40" s="579"/>
      <c r="I40" s="579"/>
      <c r="K40" s="631">
        <f>C30/C18</f>
        <v>0.99985267211610307</v>
      </c>
      <c r="L40" s="579"/>
      <c r="M40" s="579"/>
    </row>
    <row r="46" spans="1:13" ht="15.75">
      <c r="A46" s="642" t="s">
        <v>2802</v>
      </c>
      <c r="B46" s="612"/>
      <c r="C46" s="612"/>
      <c r="D46" s="612"/>
      <c r="E46" s="612"/>
      <c r="F46" s="612"/>
      <c r="G46" s="612"/>
      <c r="H46" s="612"/>
      <c r="I46" s="612"/>
      <c r="J46" s="612"/>
      <c r="K46" s="612"/>
      <c r="L46" s="612"/>
      <c r="M46" s="579"/>
    </row>
    <row r="47" spans="1:13" ht="15.75">
      <c r="A47" s="642" t="str">
        <f>C8</f>
        <v>Sparrow Pointe</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7" t="s">
        <v>2805</v>
      </c>
      <c r="L50" s="4468"/>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348780</v>
      </c>
      <c r="D52" s="648"/>
      <c r="E52" s="648">
        <f>$C$52</f>
        <v>348780</v>
      </c>
      <c r="F52" s="648"/>
      <c r="G52" s="648">
        <f>$C$52</f>
        <v>348780</v>
      </c>
      <c r="H52" s="648"/>
      <c r="I52" s="648">
        <f>$C$52</f>
        <v>348780</v>
      </c>
      <c r="J52" s="648"/>
      <c r="K52" s="648">
        <f>$C$52</f>
        <v>348780</v>
      </c>
      <c r="L52" s="649"/>
      <c r="M52" s="27"/>
      <c r="N52" s="27"/>
    </row>
    <row r="53" spans="1:14" s="579" customFormat="1" ht="18.75" customHeight="1">
      <c r="B53" s="647" t="s">
        <v>2809</v>
      </c>
      <c r="C53" s="648">
        <f>'Part VII-Pro Forma'!B16</f>
        <v>6975.6</v>
      </c>
      <c r="D53" s="648"/>
      <c r="E53" s="648">
        <f>$C$53</f>
        <v>6975.6</v>
      </c>
      <c r="F53" s="648"/>
      <c r="G53" s="648">
        <f>$C$53</f>
        <v>6975.6</v>
      </c>
      <c r="H53" s="648"/>
      <c r="I53" s="648">
        <f>$C$53</f>
        <v>6975.6</v>
      </c>
      <c r="J53" s="648"/>
      <c r="K53" s="648">
        <f>$C$53</f>
        <v>6975.6</v>
      </c>
      <c r="L53" s="649"/>
      <c r="M53" s="27"/>
      <c r="N53" s="27"/>
    </row>
    <row r="54" spans="1:14" s="579" customFormat="1" ht="18.75" customHeight="1">
      <c r="B54" s="647" t="s">
        <v>2807</v>
      </c>
      <c r="C54" s="648">
        <f>'Part VII-Pro Forma'!B17</f>
        <v>-24902.892</v>
      </c>
      <c r="D54" s="648"/>
      <c r="E54" s="648">
        <f>-($C$52+E53)*F50</f>
        <v>-35575.56</v>
      </c>
      <c r="F54" s="650"/>
      <c r="G54" s="648">
        <f>-($C$52+G53)*0.07</f>
        <v>-24902.892</v>
      </c>
      <c r="H54" s="648"/>
      <c r="I54" s="648">
        <f>-($C$52+I53)*0.07</f>
        <v>-24902.892</v>
      </c>
      <c r="J54" s="648"/>
      <c r="K54" s="648">
        <f>-($C$52+K53)*L54</f>
        <v>-35575.56</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330852.70799999998</v>
      </c>
      <c r="D56" s="648"/>
      <c r="E56" s="654">
        <f>SUM(E52:E55)</f>
        <v>320180.03999999998</v>
      </c>
      <c r="F56" s="648"/>
      <c r="G56" s="654">
        <f>SUM(G52:G55)</f>
        <v>330852.70799999998</v>
      </c>
      <c r="H56" s="648"/>
      <c r="I56" s="654">
        <f>SUM(I52:I55)</f>
        <v>330852.70799999998</v>
      </c>
      <c r="J56" s="648"/>
      <c r="K56" s="654">
        <f>SUM(K52:K55)</f>
        <v>320180.03999999998</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91908</v>
      </c>
      <c r="D58" s="648"/>
      <c r="E58" s="648">
        <f>$C$58</f>
        <v>91908</v>
      </c>
      <c r="F58" s="648"/>
      <c r="G58" s="648">
        <f>$C$58</f>
        <v>91908</v>
      </c>
      <c r="H58" s="648"/>
      <c r="I58" s="648">
        <f>$C$58</f>
        <v>91908</v>
      </c>
      <c r="J58" s="648"/>
      <c r="K58" s="648">
        <f>$C$58</f>
        <v>91908</v>
      </c>
      <c r="L58" s="649"/>
      <c r="M58" s="27"/>
      <c r="N58" s="27"/>
    </row>
    <row r="59" spans="1:14" s="579" customFormat="1" ht="18.75" customHeight="1">
      <c r="B59" s="647" t="s">
        <v>2812</v>
      </c>
      <c r="C59" s="648">
        <f>+'Part VI-Revenues &amp; Expenses'!F244</f>
        <v>36700</v>
      </c>
      <c r="D59" s="648"/>
      <c r="E59" s="648">
        <f>$C$59</f>
        <v>36700</v>
      </c>
      <c r="F59" s="648"/>
      <c r="G59" s="648">
        <f>$C$59</f>
        <v>36700</v>
      </c>
      <c r="H59" s="648"/>
      <c r="I59" s="648">
        <f>$C$59</f>
        <v>36700</v>
      </c>
      <c r="J59" s="648"/>
      <c r="K59" s="648">
        <f>$C$59*(1+$L$59)</f>
        <v>38168</v>
      </c>
      <c r="L59" s="656">
        <v>0.04</v>
      </c>
      <c r="M59" s="27"/>
      <c r="N59" s="27"/>
    </row>
    <row r="60" spans="1:14" s="579" customFormat="1" ht="18.75" customHeight="1">
      <c r="B60" s="647" t="s">
        <v>1326</v>
      </c>
      <c r="C60" s="648">
        <f>+'Part VI-Revenues &amp; Expenses'!L237</f>
        <v>30420</v>
      </c>
      <c r="D60" s="648"/>
      <c r="E60" s="648">
        <f>$C$60</f>
        <v>30420</v>
      </c>
      <c r="F60" s="648"/>
      <c r="G60" s="648">
        <f>$C$60</f>
        <v>30420</v>
      </c>
      <c r="H60" s="648"/>
      <c r="I60" s="648">
        <f>$C$60*(1+$J$50)</f>
        <v>31332.600000000002</v>
      </c>
      <c r="J60" s="650"/>
      <c r="K60" s="648">
        <f>$C$60*(1+$J$50)</f>
        <v>31332.600000000002</v>
      </c>
      <c r="L60" s="651">
        <v>0.03</v>
      </c>
      <c r="M60" s="27"/>
      <c r="N60" s="27"/>
    </row>
    <row r="61" spans="1:14" s="579" customFormat="1" ht="18.75" customHeight="1">
      <c r="B61" s="647" t="s">
        <v>1327</v>
      </c>
      <c r="C61" s="648">
        <f>+'Part VI-Revenues &amp; Expenses'!L244</f>
        <v>66460</v>
      </c>
      <c r="D61" s="648"/>
      <c r="E61" s="648">
        <f>$C$61</f>
        <v>66460</v>
      </c>
      <c r="F61" s="648"/>
      <c r="G61" s="648">
        <f>$C$61*(1+H50)</f>
        <v>69783</v>
      </c>
      <c r="H61" s="650"/>
      <c r="I61" s="648">
        <f>$C$61</f>
        <v>66460</v>
      </c>
      <c r="J61" s="648"/>
      <c r="K61" s="648">
        <f>$C$61*(1+$L$61)</f>
        <v>69783</v>
      </c>
      <c r="L61" s="651">
        <v>0.05</v>
      </c>
      <c r="M61" s="27"/>
      <c r="N61" s="27"/>
    </row>
    <row r="62" spans="1:14" s="579" customFormat="1" ht="18.75" customHeight="1">
      <c r="B62" s="653" t="s">
        <v>2813</v>
      </c>
      <c r="C62" s="654">
        <f>SUM(C58:C61)</f>
        <v>225488</v>
      </c>
      <c r="D62" s="648"/>
      <c r="E62" s="654">
        <f>SUM(E58:E61)</f>
        <v>225488</v>
      </c>
      <c r="F62" s="648"/>
      <c r="G62" s="654">
        <f>SUM(G58:G61)</f>
        <v>228811</v>
      </c>
      <c r="H62" s="648"/>
      <c r="I62" s="654">
        <f>SUM(I58:I61)</f>
        <v>226400.6</v>
      </c>
      <c r="J62" s="648"/>
      <c r="K62" s="654">
        <f>SUM(K58:K61)</f>
        <v>231191.6</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105364.70799999998</v>
      </c>
      <c r="D64" s="660"/>
      <c r="E64" s="660">
        <f>E56-E62</f>
        <v>94692.039999999979</v>
      </c>
      <c r="F64" s="660"/>
      <c r="G64" s="660">
        <f>G56-G62</f>
        <v>102041.70799999998</v>
      </c>
      <c r="H64" s="660"/>
      <c r="I64" s="660">
        <f>I56-I62</f>
        <v>104452.10799999998</v>
      </c>
      <c r="J64" s="660"/>
      <c r="K64" s="660">
        <f>K56-K62</f>
        <v>88988.439999999973</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12500</v>
      </c>
      <c r="D66" s="655"/>
      <c r="E66" s="655">
        <f>$C$66</f>
        <v>12500</v>
      </c>
      <c r="F66" s="655"/>
      <c r="G66" s="655">
        <f>$C$66</f>
        <v>12500</v>
      </c>
      <c r="H66" s="655"/>
      <c r="I66" s="655">
        <f>$C$66</f>
        <v>12500</v>
      </c>
      <c r="J66" s="655"/>
      <c r="K66" s="655">
        <f>$C$66</f>
        <v>12500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24000</v>
      </c>
      <c r="D68" s="655"/>
      <c r="E68" s="655">
        <f>$C$68</f>
        <v>24000</v>
      </c>
      <c r="F68" s="655"/>
      <c r="G68" s="655">
        <f>$C$68</f>
        <v>24000</v>
      </c>
      <c r="H68" s="655"/>
      <c r="I68" s="655">
        <f>$C$68</f>
        <v>24000</v>
      </c>
      <c r="J68" s="655"/>
      <c r="K68" s="655">
        <f>$C$68</f>
        <v>24000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68864.707999999984</v>
      </c>
      <c r="D70" s="664"/>
      <c r="E70" s="663">
        <f>E64-E66-E68</f>
        <v>58192.039999999979</v>
      </c>
      <c r="F70" s="664"/>
      <c r="G70" s="663">
        <f>G64-G66-G68</f>
        <v>65541.707999999984</v>
      </c>
      <c r="H70" s="664"/>
      <c r="I70" s="663">
        <f>I64-I66-I68</f>
        <v>67952.107999999978</v>
      </c>
      <c r="J70" s="664"/>
      <c r="K70" s="663">
        <f>K64-K66-K68</f>
        <v>52488.439999999973</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2819</v>
      </c>
      <c r="C73" s="1073">
        <f>C76/C62</f>
        <v>0.30540298375079822</v>
      </c>
      <c r="D73" s="668"/>
      <c r="E73" s="1073">
        <f>E76/E62</f>
        <v>0.25807156034910939</v>
      </c>
      <c r="F73" s="668"/>
      <c r="G73" s="1073">
        <f>G76/G62</f>
        <v>0.28644474260415792</v>
      </c>
      <c r="H73" s="668"/>
      <c r="I73" s="1073">
        <f>I76/I62</f>
        <v>0.30014102436124274</v>
      </c>
      <c r="J73" s="668"/>
      <c r="K73" s="1073">
        <f>K76/K62</f>
        <v>0.22703437322117229</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68864.707999999984</v>
      </c>
      <c r="D76" s="648"/>
      <c r="E76" s="648">
        <f>E70+E75</f>
        <v>58192.039999999979</v>
      </c>
      <c r="F76" s="648"/>
      <c r="G76" s="648">
        <f>G70+G75</f>
        <v>65541.707999999984</v>
      </c>
      <c r="H76" s="648"/>
      <c r="I76" s="648">
        <f>I70+I75</f>
        <v>67952.107999999978</v>
      </c>
      <c r="J76" s="648"/>
      <c r="K76" s="648">
        <f>K70+K75</f>
        <v>52488.439999999973</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12387336</v>
      </c>
    </row>
    <row r="5" spans="1:7">
      <c r="A5" s="1020" t="s">
        <v>3600</v>
      </c>
      <c r="B5" s="1021">
        <f>+B18+B26+B38</f>
        <v>110</v>
      </c>
    </row>
    <row r="6" spans="1:7">
      <c r="A6" s="1020" t="s">
        <v>3570</v>
      </c>
      <c r="B6" s="1022">
        <f>+B5-B4</f>
        <v>-12387226</v>
      </c>
    </row>
    <row r="7" spans="1:7">
      <c r="A7" s="1020" t="s">
        <v>3571</v>
      </c>
      <c r="B7" s="1023">
        <f>+B6/B4</f>
        <v>-0.99999111996316237</v>
      </c>
    </row>
    <row r="8" spans="1:7" ht="9" customHeight="1"/>
    <row r="9" spans="1:7">
      <c r="A9" s="1020" t="s">
        <v>3572</v>
      </c>
      <c r="B9" s="1021">
        <f>+B18+B26+B33</f>
        <v>0</v>
      </c>
    </row>
    <row r="10" spans="1:7">
      <c r="A10" s="1020" t="s">
        <v>3570</v>
      </c>
      <c r="B10" s="1022">
        <f>+B9-B4</f>
        <v>-12387336</v>
      </c>
    </row>
    <row r="11" spans="1:7">
      <c r="A11" s="1020" t="s">
        <v>3571</v>
      </c>
      <c r="B11" s="1023">
        <f>+B10/B4</f>
        <v>-1</v>
      </c>
    </row>
    <row r="12" spans="1:7" ht="24" customHeight="1"/>
    <row r="13" spans="1:7">
      <c r="A13" s="1019" t="s">
        <v>3573</v>
      </c>
      <c r="D13" s="1078" t="s">
        <v>3817</v>
      </c>
      <c r="E13" s="1079"/>
    </row>
    <row r="14" spans="1:7">
      <c r="A14" s="1020" t="s">
        <v>3574</v>
      </c>
      <c r="B14" s="1024">
        <f>+SUM('Part III-Sources of Funds'!L51:M52)</f>
        <v>12386360</v>
      </c>
      <c r="D14" s="1079"/>
      <c r="E14" s="1079"/>
    </row>
    <row r="15" spans="1:7">
      <c r="A15" s="1020" t="s">
        <v>3575</v>
      </c>
      <c r="B15" s="1025">
        <f>+'Part IV-A-Uses of Funds'!J186</f>
        <v>1238722.6000000001</v>
      </c>
      <c r="D15" s="1079" t="s">
        <v>1953</v>
      </c>
      <c r="G15" s="1080">
        <f>'Part IV-A-Uses of Funds'!J168</f>
        <v>13691795</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6511817.7020000005</v>
      </c>
    </row>
    <row r="20" spans="1:7">
      <c r="A20" s="1020" t="s">
        <v>3578</v>
      </c>
      <c r="B20" s="1024">
        <f>+B18-B14</f>
        <v>-12386360</v>
      </c>
      <c r="D20" s="1079" t="s">
        <v>3822</v>
      </c>
      <c r="G20" s="1082">
        <f>+B14-G19</f>
        <v>5874542.2979999995</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0</v>
      </c>
    </row>
    <row r="25" spans="1:7">
      <c r="A25" s="1020" t="s">
        <v>3582</v>
      </c>
      <c r="B25" s="1028">
        <f>IF('Part III-Sources of Funds'!E6="Yes","N/A",MAX(B46:P46))</f>
        <v>-44636.876805177599</v>
      </c>
    </row>
    <row r="26" spans="1:7">
      <c r="A26" s="1020" t="s">
        <v>3583</v>
      </c>
      <c r="B26" s="1018">
        <f>IFERROR(PV('Part III-Sources of Funds'!K40,'Part III-Sources of Funds'!L40,B25+B45),B24)</f>
        <v>0</v>
      </c>
    </row>
    <row r="27" spans="1:7" ht="9" customHeight="1">
      <c r="B27" s="1018"/>
    </row>
    <row r="28" spans="1:7">
      <c r="A28" s="1020" t="s">
        <v>3584</v>
      </c>
      <c r="B28" s="1029">
        <f>+B26-B24</f>
        <v>0</v>
      </c>
      <c r="C28" s="1030"/>
    </row>
    <row r="29" spans="1:7">
      <c r="A29" s="1020" t="s">
        <v>3579</v>
      </c>
      <c r="B29" s="1031" t="e">
        <f>+B28/B24</f>
        <v>#DIV/0!</v>
      </c>
    </row>
    <row r="30" spans="1:7" ht="24" customHeight="1"/>
    <row r="31" spans="1:7">
      <c r="A31" s="1019" t="s">
        <v>3509</v>
      </c>
    </row>
    <row r="32" spans="1:7">
      <c r="A32" s="1020" t="s">
        <v>3585</v>
      </c>
      <c r="B32" s="1032">
        <f>+'Part III-Sources of Funds'!I45</f>
        <v>1715</v>
      </c>
    </row>
    <row r="33" spans="1:11">
      <c r="A33" s="1020" t="s">
        <v>3586</v>
      </c>
      <c r="B33" s="1018"/>
    </row>
    <row r="34" spans="1:11" ht="9" customHeight="1">
      <c r="B34" s="1018"/>
    </row>
    <row r="35" spans="1:11">
      <c r="A35" s="1020" t="s">
        <v>3587</v>
      </c>
      <c r="B35" s="1032">
        <f>+B33-B32</f>
        <v>-1715</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68864.707999999984</v>
      </c>
      <c r="C44" s="1021">
        <f>+'Part VII-Pro Forma'!C25</f>
        <v>67622.122160000028</v>
      </c>
      <c r="D44" s="1021">
        <f>+'Part VII-Pro Forma'!D25</f>
        <v>66275.688203199999</v>
      </c>
      <c r="E44" s="1021">
        <f>+'Part VII-Pro Forma'!E25</f>
        <v>64822.627275263942</v>
      </c>
      <c r="F44" s="1021">
        <f>+'Part VII-Pro Forma'!F25</f>
        <v>63256.02068800931</v>
      </c>
      <c r="G44" s="1021">
        <f>+'Part VII-Pro Forma'!G25</f>
        <v>61571.805195026704</v>
      </c>
      <c r="H44" s="1021">
        <f>+'Part VII-Pro Forma'!H25</f>
        <v>59766.768114982144</v>
      </c>
      <c r="I44" s="1021">
        <f>+'Part VII-Pro Forma'!I25</f>
        <v>57833.542297818225</v>
      </c>
      <c r="J44" s="1021">
        <f>+'Part VII-Pro Forma'!J25</f>
        <v>55768.600928927335</v>
      </c>
      <c r="K44" s="1021">
        <f>+'Part VII-Pro Forma'!K25</f>
        <v>53564.252166213118</v>
      </c>
    </row>
    <row r="45" spans="1:11">
      <c r="A45" s="1020" t="s">
        <v>3591</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3592</v>
      </c>
      <c r="B46" s="1022">
        <f t="shared" ref="B46:K46" si="0">-B44/B48-B45</f>
        <v>-57387.256666666653</v>
      </c>
      <c r="C46" s="1022">
        <f t="shared" si="0"/>
        <v>-56351.76846666669</v>
      </c>
      <c r="D46" s="1022">
        <f t="shared" si="0"/>
        <v>-55229.740169333338</v>
      </c>
      <c r="E46" s="1022">
        <f t="shared" si="0"/>
        <v>-54018.856062719955</v>
      </c>
      <c r="F46" s="1022">
        <f t="shared" si="0"/>
        <v>-52713.350573341093</v>
      </c>
      <c r="G46" s="1022">
        <f t="shared" si="0"/>
        <v>-51309.837662522252</v>
      </c>
      <c r="H46" s="1022">
        <f t="shared" si="0"/>
        <v>-49805.640095818453</v>
      </c>
      <c r="I46" s="1022">
        <f t="shared" si="0"/>
        <v>-48194.618581515191</v>
      </c>
      <c r="J46" s="1022">
        <f t="shared" si="0"/>
        <v>-46473.834107439448</v>
      </c>
      <c r="K46" s="1022">
        <f t="shared" si="0"/>
        <v>-44636.876805177599</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68864.707999999984</v>
      </c>
      <c r="C51" s="1022">
        <f t="shared" ref="C51:K51" si="2">+C44</f>
        <v>67622.122160000028</v>
      </c>
      <c r="D51" s="1022">
        <f t="shared" si="2"/>
        <v>66275.688203199999</v>
      </c>
      <c r="E51" s="1022">
        <f t="shared" si="2"/>
        <v>64822.627275263942</v>
      </c>
      <c r="F51" s="1022">
        <f t="shared" si="2"/>
        <v>63256.02068800931</v>
      </c>
      <c r="G51" s="1022">
        <f t="shared" si="2"/>
        <v>61571.805195026704</v>
      </c>
      <c r="H51" s="1022">
        <f t="shared" si="2"/>
        <v>59766.768114982144</v>
      </c>
      <c r="I51" s="1022">
        <f t="shared" si="2"/>
        <v>57833.542297818225</v>
      </c>
      <c r="J51" s="1022">
        <f t="shared" si="2"/>
        <v>55768.600928927335</v>
      </c>
      <c r="K51" s="1022">
        <f t="shared" si="2"/>
        <v>53564.252166213118</v>
      </c>
    </row>
    <row r="52" spans="1:17">
      <c r="A52" s="1020" t="s">
        <v>3594</v>
      </c>
      <c r="B52" s="1022">
        <f>IF($B$25="N/A",B45,B45+$B$25)</f>
        <v>-44636.876805177599</v>
      </c>
      <c r="C52" s="1022">
        <f t="shared" ref="C52:K52" si="3">IF($B$25="N/A",C45,C45+$B$25)</f>
        <v>-44636.876805177599</v>
      </c>
      <c r="D52" s="1022">
        <f t="shared" si="3"/>
        <v>-44636.876805177599</v>
      </c>
      <c r="E52" s="1022">
        <f t="shared" si="3"/>
        <v>-44636.876805177599</v>
      </c>
      <c r="F52" s="1022">
        <f t="shared" si="3"/>
        <v>-44636.876805177599</v>
      </c>
      <c r="G52" s="1022">
        <f t="shared" si="3"/>
        <v>-44636.876805177599</v>
      </c>
      <c r="H52" s="1022">
        <f t="shared" si="3"/>
        <v>-44636.876805177599</v>
      </c>
      <c r="I52" s="1022">
        <f t="shared" si="3"/>
        <v>-44636.876805177599</v>
      </c>
      <c r="J52" s="1022">
        <f t="shared" si="3"/>
        <v>-44636.876805177599</v>
      </c>
      <c r="K52" s="1022">
        <f t="shared" si="3"/>
        <v>-44636.876805177599</v>
      </c>
    </row>
    <row r="53" spans="1:17">
      <c r="A53" s="1020" t="s">
        <v>3595</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3596</v>
      </c>
      <c r="B54" s="1022">
        <f>+SUM(B51:B53)</f>
        <v>16727.831194822385</v>
      </c>
      <c r="C54" s="1022">
        <f t="shared" ref="C54:K54" si="4">+SUM(C51:C53)</f>
        <v>15485.245354822429</v>
      </c>
      <c r="D54" s="1022">
        <f t="shared" si="4"/>
        <v>14138.811398022401</v>
      </c>
      <c r="E54" s="1022">
        <f t="shared" si="4"/>
        <v>12685.750470086343</v>
      </c>
      <c r="F54" s="1022">
        <f t="shared" si="4"/>
        <v>11119.143882831711</v>
      </c>
      <c r="G54" s="1022">
        <f t="shared" si="4"/>
        <v>9434.9283898491049</v>
      </c>
      <c r="H54" s="1022">
        <f t="shared" si="4"/>
        <v>7629.891309804545</v>
      </c>
      <c r="I54" s="1022">
        <f t="shared" si="4"/>
        <v>5696.6654926406263</v>
      </c>
      <c r="J54" s="1022">
        <f t="shared" si="4"/>
        <v>3631.7241237497365</v>
      </c>
      <c r="K54" s="1022">
        <f t="shared" si="4"/>
        <v>1427.3753610355197</v>
      </c>
    </row>
    <row r="55" spans="1:17">
      <c r="A55" s="1020" t="s">
        <v>3509</v>
      </c>
      <c r="B55" s="1022">
        <f>-B54</f>
        <v>-16727.831194822385</v>
      </c>
      <c r="C55" s="1022">
        <f t="shared" ref="C55:K55" si="5">-C54</f>
        <v>-15485.245354822429</v>
      </c>
      <c r="D55" s="1022">
        <f t="shared" si="5"/>
        <v>-14138.811398022401</v>
      </c>
      <c r="E55" s="1022">
        <f t="shared" si="5"/>
        <v>-12685.750470086343</v>
      </c>
      <c r="F55" s="1022">
        <f t="shared" si="5"/>
        <v>-11119.143882831711</v>
      </c>
      <c r="G55" s="1022">
        <f t="shared" si="5"/>
        <v>-9434.9283898491049</v>
      </c>
      <c r="H55" s="1022">
        <f t="shared" si="5"/>
        <v>-7629.891309804545</v>
      </c>
      <c r="I55" s="1022">
        <f t="shared" si="5"/>
        <v>-5696.6654926406263</v>
      </c>
      <c r="J55" s="1022">
        <f t="shared" si="5"/>
        <v>-3631.7241237497365</v>
      </c>
      <c r="K55" s="1022">
        <f t="shared" si="5"/>
        <v>-1427.3753610355197</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-44636.876805177599</v>
      </c>
      <c r="C58" s="1021">
        <f>IF($B$26="","",-FV('Part III-Sources of Funds'!$K$40/12,12,C52/12,B58))</f>
        <v>-89273.753610355197</v>
      </c>
      <c r="D58" s="1021">
        <f>IF($B$26="","",-FV('Part III-Sources of Funds'!$K$40/12,12,D52/12,C58))</f>
        <v>-133910.6304155328</v>
      </c>
      <c r="E58" s="1021">
        <f>IF($B$26="","",-FV('Part III-Sources of Funds'!$K$40/12,12,E52/12,D58))</f>
        <v>-178547.50722071039</v>
      </c>
      <c r="F58" s="1021">
        <f>IF($B$26="","",-FV('Part III-Sources of Funds'!$K$40/12,12,F52/12,E58))</f>
        <v>-223184.38402588799</v>
      </c>
      <c r="G58" s="1021">
        <f>IF($B$26="","",-FV('Part III-Sources of Funds'!$K$40/12,12,G52/12,F58))</f>
        <v>-267821.26083106559</v>
      </c>
      <c r="H58" s="1021">
        <f>IF($B$26="","",-FV('Part III-Sources of Funds'!$K$40/12,12,H52/12,G58))</f>
        <v>-312458.13763624319</v>
      </c>
      <c r="I58" s="1021">
        <f>IF($B$26="","",-FV('Part III-Sources of Funds'!$K$40/12,12,I52/12,H58))</f>
        <v>-357095.01444142079</v>
      </c>
      <c r="J58" s="1021">
        <f>IF($B$26="","",-FV('Part III-Sources of Funds'!$K$40/12,12,J52/12,I58))</f>
        <v>-401731.89124659839</v>
      </c>
      <c r="K58" s="1021">
        <f>IF($B$26="","",-FV('Part III-Sources of Funds'!$K$40/12,12,K52/12,J58))</f>
        <v>-446368.76805177599</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51217.63360480588</v>
      </c>
      <c r="C64" s="1021">
        <f>+'Part VII-Pro Forma'!C57</f>
        <v>48720.706564028442</v>
      </c>
      <c r="D64" s="1021">
        <f>+'Part VII-Pro Forma'!D57</f>
        <v>46069.250191049374</v>
      </c>
      <c r="E64" s="1021">
        <f>+'Part VII-Pro Forma'!E57</f>
        <v>43254.855375482926</v>
      </c>
      <c r="F64" s="1021">
        <f>+'Part VII-Pro Forma'!F57</f>
        <v>40272.918469023483</v>
      </c>
      <c r="G64" s="1021">
        <f>+'Part VII-Pro Forma'!G57</f>
        <v>37115.634804015601</v>
      </c>
      <c r="H64" s="1021">
        <f>+'Part VII-Pro Forma'!H57</f>
        <v>33775.992004676242</v>
      </c>
      <c r="I64" s="1021">
        <f>+'Part VII-Pro Forma'!I57</f>
        <v>30247.763084487397</v>
      </c>
      <c r="J64" s="1021">
        <f>+'Part VII-Pro Forma'!J57</f>
        <v>26522.499323086202</v>
      </c>
      <c r="K64" s="1021">
        <f>+'Part VII-Pro Forma'!K57</f>
        <v>22592.522915764228</v>
      </c>
    </row>
    <row r="65" spans="1:11">
      <c r="A65" s="1020" t="s">
        <v>3591</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3592</v>
      </c>
      <c r="B66" s="1022">
        <f t="shared" ref="B66:K66" si="7">-B64/B68-B65</f>
        <v>-42681.361337338232</v>
      </c>
      <c r="C66" s="1022">
        <f t="shared" si="7"/>
        <v>-40600.588803357037</v>
      </c>
      <c r="D66" s="1022">
        <f t="shared" si="7"/>
        <v>-38391.041825874483</v>
      </c>
      <c r="E66" s="1022">
        <f t="shared" si="7"/>
        <v>-36045.712812902442</v>
      </c>
      <c r="F66" s="1022">
        <f t="shared" si="7"/>
        <v>-33560.765390852903</v>
      </c>
      <c r="G66" s="1022">
        <f t="shared" si="7"/>
        <v>-30929.695670013003</v>
      </c>
      <c r="H66" s="1022">
        <f t="shared" si="7"/>
        <v>-28146.660003896868</v>
      </c>
      <c r="I66" s="1022">
        <f t="shared" si="7"/>
        <v>-25206.46923707283</v>
      </c>
      <c r="J66" s="1022">
        <f t="shared" si="7"/>
        <v>-22102.082769238503</v>
      </c>
      <c r="K66" s="1022">
        <f t="shared" si="7"/>
        <v>-18827.102429803523</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51217.63360480588</v>
      </c>
      <c r="C71" s="1022">
        <f t="shared" si="9"/>
        <v>48720.706564028442</v>
      </c>
      <c r="D71" s="1022">
        <f t="shared" si="9"/>
        <v>46069.250191049374</v>
      </c>
      <c r="E71" s="1022">
        <f t="shared" si="9"/>
        <v>43254.855375482926</v>
      </c>
      <c r="F71" s="1022">
        <f t="shared" si="9"/>
        <v>40272.918469023483</v>
      </c>
      <c r="G71" s="1022">
        <f t="shared" si="9"/>
        <v>37115.634804015601</v>
      </c>
      <c r="H71" s="1022">
        <f>+H64</f>
        <v>33775.992004676242</v>
      </c>
      <c r="I71" s="1022">
        <f>+I64</f>
        <v>30247.763084487397</v>
      </c>
      <c r="J71" s="1022">
        <f>+J64</f>
        <v>26522.499323086202</v>
      </c>
      <c r="K71" s="1022">
        <f>+K64</f>
        <v>22592.522915764228</v>
      </c>
    </row>
    <row r="72" spans="1:11">
      <c r="A72" s="1020" t="s">
        <v>3594</v>
      </c>
      <c r="B72" s="1022">
        <f t="shared" ref="B72:G72" si="10">IF($B$25="N/A",B65,B65+$B$25)</f>
        <v>-44636.876805177599</v>
      </c>
      <c r="C72" s="1022">
        <f t="shared" si="10"/>
        <v>-44636.876805177599</v>
      </c>
      <c r="D72" s="1022">
        <f t="shared" si="10"/>
        <v>-44636.876805177599</v>
      </c>
      <c r="E72" s="1022">
        <f t="shared" si="10"/>
        <v>-44636.876805177599</v>
      </c>
      <c r="F72" s="1022">
        <f t="shared" si="10"/>
        <v>-44636.876805177599</v>
      </c>
      <c r="G72" s="1022">
        <f t="shared" si="10"/>
        <v>-44636.876805177599</v>
      </c>
      <c r="H72" s="1022">
        <f>IF($B$25="N/A",H65,H65+$B$25)</f>
        <v>-44636.876805177599</v>
      </c>
      <c r="I72" s="1022">
        <f>IF($B$25="N/A",I65,I65+$B$25)</f>
        <v>-44636.876805177599</v>
      </c>
      <c r="J72" s="1022">
        <f>IF($B$25="N/A",J65,J65+$B$25)</f>
        <v>-44636.876805177599</v>
      </c>
      <c r="K72" s="1022">
        <f>IF($B$25="N/A",K65,K65+$B$25)</f>
        <v>-44636.876805177599</v>
      </c>
    </row>
    <row r="73" spans="1:11">
      <c r="A73" s="1020" t="s">
        <v>3595</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3596</v>
      </c>
      <c r="B74" s="1022">
        <f t="shared" ref="B74:G74" si="11">+SUM(B71:B73)</f>
        <v>-919.24320037171856</v>
      </c>
      <c r="C74" s="1022">
        <f t="shared" si="11"/>
        <v>-3416.1702411491569</v>
      </c>
      <c r="D74" s="1022">
        <f t="shared" si="11"/>
        <v>-6067.6266141282249</v>
      </c>
      <c r="E74" s="1022">
        <f t="shared" si="11"/>
        <v>-8882.0214296946724</v>
      </c>
      <c r="F74" s="1022">
        <f t="shared" si="11"/>
        <v>-11863.958336154115</v>
      </c>
      <c r="G74" s="1022">
        <f t="shared" si="11"/>
        <v>-15021.242001161998</v>
      </c>
      <c r="H74" s="1022">
        <f>+SUM(H71:H73)</f>
        <v>-18360.884800501357</v>
      </c>
      <c r="I74" s="1022">
        <f>+SUM(I71:I73)</f>
        <v>-21889.113720690202</v>
      </c>
      <c r="J74" s="1022">
        <f>+SUM(J71:J73)</f>
        <v>-25614.377482091397</v>
      </c>
      <c r="K74" s="1022">
        <f>+SUM(K71:K73)</f>
        <v>-29544.353889413371</v>
      </c>
    </row>
    <row r="75" spans="1:11">
      <c r="A75" s="1020" t="s">
        <v>3509</v>
      </c>
      <c r="B75" s="1022">
        <f t="shared" ref="B75:G75" si="12">-B74</f>
        <v>919.24320037171856</v>
      </c>
      <c r="C75" s="1022">
        <f t="shared" si="12"/>
        <v>3416.1702411491569</v>
      </c>
      <c r="D75" s="1022">
        <f t="shared" si="12"/>
        <v>6067.6266141282249</v>
      </c>
      <c r="E75" s="1022">
        <f t="shared" si="12"/>
        <v>8882.0214296946724</v>
      </c>
      <c r="F75" s="1022">
        <f t="shared" si="12"/>
        <v>11863.958336154115</v>
      </c>
      <c r="G75" s="1022">
        <f t="shared" si="12"/>
        <v>15021.242001161998</v>
      </c>
      <c r="H75" s="1022">
        <f>-H74</f>
        <v>18360.884800501357</v>
      </c>
      <c r="I75" s="1022">
        <f>-I74</f>
        <v>21889.113720690202</v>
      </c>
      <c r="J75" s="1022">
        <f>-J74</f>
        <v>25614.377482091397</v>
      </c>
      <c r="K75" s="1022">
        <f>-K74</f>
        <v>29544.353889413371</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-491005.64485695359</v>
      </c>
      <c r="C78" s="1021">
        <f>IF($B$26="","",-FV('Part III-Sources of Funds'!$K$40/12,12,C72/12,B78))</f>
        <v>-535642.52166213118</v>
      </c>
      <c r="D78" s="1021">
        <f>IF($B$26="","",-FV('Part III-Sources of Funds'!$K$40/12,12,D72/12,C78))</f>
        <v>-580279.39846730884</v>
      </c>
      <c r="E78" s="1021">
        <f>IF($B$26="","",-FV('Part III-Sources of Funds'!$K$40/12,12,E72/12,D78))</f>
        <v>-624916.2752724865</v>
      </c>
      <c r="F78" s="1021">
        <f>IF($B$26="","",-FV('Part III-Sources of Funds'!$K$40/12,12,F72/12,E78))</f>
        <v>-669553.15207766416</v>
      </c>
      <c r="G78" s="1021">
        <f>IF($B$26="","",-FV('Part III-Sources of Funds'!$K$40/12,12,G72/12,F78))</f>
        <v>-714190.02888284181</v>
      </c>
      <c r="H78" s="1021">
        <f>IF($B$26="","",-FV('Part III-Sources of Funds'!$K$40/12,12,H72/12,G78))</f>
        <v>-758826.90568801947</v>
      </c>
      <c r="I78" s="1021">
        <f>IF($B$26="","",-FV('Part III-Sources of Funds'!$K$40/12,12,I72/12,H78))</f>
        <v>-803463.78249319713</v>
      </c>
      <c r="J78" s="1021">
        <f>IF($B$26="","",-FV('Part III-Sources of Funds'!$K$40/12,12,J72/12,I78))</f>
        <v>-848100.65929837478</v>
      </c>
      <c r="K78" s="1021">
        <f>IF($B$26="","",-FV('Part III-Sources of Funds'!$K$40/12,12,K72/12,J78))</f>
        <v>-892737.53610355244</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Sparrow Pointe</v>
      </c>
    </row>
    <row r="2" spans="1:15" ht="13.5" customHeight="1"/>
    <row r="3" spans="1:15" ht="13.5" customHeight="1">
      <c r="A3" s="589" t="s">
        <v>2826</v>
      </c>
      <c r="C3" s="588" t="s">
        <v>2827</v>
      </c>
      <c r="E3" s="674">
        <f>SUM('Part IV-A-Uses of Funds'!J162,'Part IV-A-Uses of Funds'!M162,'Part IV-A-Uses of Funds'!P162)</f>
        <v>10532150</v>
      </c>
      <c r="F3" s="1094" t="s">
        <v>2828</v>
      </c>
      <c r="H3" s="1074">
        <v>27.5</v>
      </c>
      <c r="I3" s="588" t="s">
        <v>2357</v>
      </c>
      <c r="K3" s="593" t="s">
        <v>2849</v>
      </c>
      <c r="M3" s="1094"/>
      <c r="O3" s="675"/>
    </row>
    <row r="4" spans="1:15" ht="13.5" customHeight="1">
      <c r="C4" s="588" t="s">
        <v>3249</v>
      </c>
      <c r="E4" s="674">
        <f>SUM('Part IV-A-Uses of Funds'!G97:H101)</f>
        <v>0</v>
      </c>
      <c r="F4" s="1094" t="s">
        <v>3814</v>
      </c>
      <c r="H4" s="589">
        <f>'Part III-Sources of Funds'!M40</f>
        <v>0</v>
      </c>
      <c r="I4" s="588" t="s">
        <v>2357</v>
      </c>
      <c r="K4" s="676" t="s">
        <v>3077</v>
      </c>
      <c r="M4" s="1094"/>
    </row>
    <row r="5" spans="1:15" ht="13.5" customHeight="1">
      <c r="C5" s="588" t="s">
        <v>3250</v>
      </c>
      <c r="E5" s="674">
        <f>SUM('Part IV-A-Uses of Funds'!G105:H111)</f>
        <v>140412</v>
      </c>
      <c r="F5" s="1094" t="s">
        <v>3813</v>
      </c>
      <c r="H5" s="1074">
        <v>15</v>
      </c>
      <c r="I5" s="588" t="s">
        <v>2357</v>
      </c>
      <c r="K5" s="675">
        <f>-E6</f>
        <v>-12385511</v>
      </c>
    </row>
    <row r="6" spans="1:15" ht="13.5" customHeight="1">
      <c r="C6" s="588" t="s">
        <v>2829</v>
      </c>
      <c r="E6" s="677">
        <f>'Part III-Sources of Funds'!$I$51+'Part III-Sources of Funds'!$I$52</f>
        <v>12385511</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59649.707999999984</v>
      </c>
      <c r="D9" s="682">
        <f>'Part VII-Pro Forma'!C33</f>
        <v>60122.122160000028</v>
      </c>
      <c r="E9" s="682">
        <f>'Part VII-Pro Forma'!D33</f>
        <v>58775.688203199999</v>
      </c>
      <c r="F9" s="682">
        <f>'Part VII-Pro Forma'!E33</f>
        <v>57322.627275263942</v>
      </c>
      <c r="G9" s="682">
        <f>'Part VII-Pro Forma'!F33</f>
        <v>55756.02068800931</v>
      </c>
      <c r="H9" s="682">
        <f>'Part VII-Pro Forma'!G33</f>
        <v>54071.805195026704</v>
      </c>
      <c r="I9" s="682">
        <f>'Part VII-Pro Forma'!H33</f>
        <v>52266.768114982144</v>
      </c>
      <c r="K9" s="675" t="e">
        <f>F24</f>
        <v>#VALUE!</v>
      </c>
      <c r="N9" s="683" t="s">
        <v>2835</v>
      </c>
    </row>
    <row r="10" spans="1:15" ht="13.5" customHeight="1">
      <c r="A10" s="588" t="s">
        <v>2834</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-12500</v>
      </c>
      <c r="D13" s="1045">
        <f>'Part VII-Pro Forma'!C23</f>
        <v>-12875</v>
      </c>
      <c r="E13" s="1045">
        <f>'Part VII-Pro Forma'!D23</f>
        <v>-13261.25</v>
      </c>
      <c r="F13" s="1045">
        <f>'Part VII-Pro Forma'!E23</f>
        <v>-13659.0875</v>
      </c>
      <c r="G13" s="1045">
        <f>'Part VII-Pro Forma'!F23</f>
        <v>-14068.860124999999</v>
      </c>
      <c r="H13" s="1045">
        <f>'Part VII-Pro Forma'!G23</f>
        <v>-14490.925928749997</v>
      </c>
      <c r="I13" s="1045">
        <f>'Part VII-Pro Forma'!H23</f>
        <v>-14925.653706612498</v>
      </c>
      <c r="K13" s="675" t="e">
        <f>C44</f>
        <v>#VALUE!</v>
      </c>
      <c r="O13" s="680"/>
    </row>
    <row r="14" spans="1:15" ht="13.5" customHeight="1">
      <c r="A14" s="686" t="s">
        <v>3252</v>
      </c>
      <c r="B14" s="687"/>
      <c r="C14" s="1045">
        <f>'Part VII-Pro Forma'!B32</f>
        <v>-1715</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382987.27272727271</v>
      </c>
      <c r="D15" s="689">
        <f t="shared" si="0"/>
        <v>382987.27272727271</v>
      </c>
      <c r="E15" s="689">
        <f t="shared" si="0"/>
        <v>382987.27272727271</v>
      </c>
      <c r="F15" s="689">
        <f t="shared" si="0"/>
        <v>382987.27272727271</v>
      </c>
      <c r="G15" s="689">
        <f t="shared" si="0"/>
        <v>382987.27272727271</v>
      </c>
      <c r="H15" s="689">
        <f t="shared" si="0"/>
        <v>382987.27272727271</v>
      </c>
      <c r="I15" s="689">
        <f t="shared" si="0"/>
        <v>382987.27272727271</v>
      </c>
      <c r="K15" s="675" t="e">
        <f>E44</f>
        <v>#VALUE!</v>
      </c>
      <c r="O15" s="680"/>
    </row>
    <row r="16" spans="1:15" ht="13.5" customHeight="1">
      <c r="A16" s="688" t="s">
        <v>2839</v>
      </c>
      <c r="C16" s="689">
        <f>IF(C$8&lt;=$H$4,($E$4/$H$4),0)+IF(C$8&lt;=$H$5,($E$5/$H$5),0)</f>
        <v>9360.7999999999993</v>
      </c>
      <c r="D16" s="689">
        <f t="shared" ref="D16:I16" si="1">IF(D$8&lt;=$H$4,($E$4/$H$4),0)+IF(D$8&lt;=$H$5,($E$5/$H$5),0)</f>
        <v>9360.7999999999993</v>
      </c>
      <c r="E16" s="689">
        <f t="shared" si="1"/>
        <v>9360.7999999999993</v>
      </c>
      <c r="F16" s="689">
        <f t="shared" si="1"/>
        <v>9360.7999999999993</v>
      </c>
      <c r="G16" s="689">
        <f t="shared" si="1"/>
        <v>9360.7999999999993</v>
      </c>
      <c r="H16" s="689">
        <f t="shared" si="1"/>
        <v>9360.7999999999993</v>
      </c>
      <c r="I16" s="689">
        <f t="shared" si="1"/>
        <v>9360.7999999999993</v>
      </c>
      <c r="K16" s="675" t="e">
        <f>F44</f>
        <v>#VALUE!</v>
      </c>
      <c r="M16" s="588" t="s">
        <v>2843</v>
      </c>
      <c r="O16" s="680">
        <f>E3</f>
        <v>10532150</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7659745.4545454541</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2872404.5454545459</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998900</v>
      </c>
      <c r="D21" s="690">
        <f t="shared" ref="D21:I21" si="5">C21</f>
        <v>998900</v>
      </c>
      <c r="E21" s="690">
        <f t="shared" si="5"/>
        <v>998900</v>
      </c>
      <c r="F21" s="690">
        <f t="shared" si="5"/>
        <v>998900</v>
      </c>
      <c r="G21" s="690">
        <f t="shared" si="5"/>
        <v>998900</v>
      </c>
      <c r="H21" s="690">
        <f t="shared" si="5"/>
        <v>998900</v>
      </c>
      <c r="I21" s="690">
        <f t="shared" si="5"/>
        <v>998900</v>
      </c>
      <c r="J21" s="588" t="s">
        <v>232</v>
      </c>
      <c r="K21" s="675" t="e">
        <f>D64</f>
        <v>#VALUE!</v>
      </c>
      <c r="O21" s="680"/>
    </row>
    <row r="22" spans="1:17" ht="13.5" customHeight="1">
      <c r="A22" s="588" t="s">
        <v>2846</v>
      </c>
      <c r="C22" s="690">
        <f>C21</f>
        <v>998900</v>
      </c>
      <c r="D22" s="690">
        <f t="shared" ref="D22:I22" si="6">D21</f>
        <v>998900</v>
      </c>
      <c r="E22" s="690">
        <f t="shared" si="6"/>
        <v>998900</v>
      </c>
      <c r="F22" s="690">
        <f t="shared" si="6"/>
        <v>998900</v>
      </c>
      <c r="G22" s="690">
        <f t="shared" si="6"/>
        <v>998900</v>
      </c>
      <c r="H22" s="690">
        <f t="shared" si="6"/>
        <v>998900</v>
      </c>
      <c r="I22" s="690">
        <f t="shared" si="6"/>
        <v>998900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2872404.5454545459</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-2872404.5454545459</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50333.542297818225</v>
      </c>
      <c r="D29" s="682">
        <f>'Part VII-Pro Forma'!J33</f>
        <v>48268.600928927335</v>
      </c>
      <c r="E29" s="682">
        <f>'Part VII-Pro Forma'!K33</f>
        <v>46064.252166213118</v>
      </c>
      <c r="F29" s="682">
        <f>'Part VII-Pro Forma'!B65</f>
        <v>43717.63360480588</v>
      </c>
      <c r="G29" s="682">
        <f>'Part VII-Pro Forma'!C65</f>
        <v>41220.706564028442</v>
      </c>
      <c r="H29" s="682">
        <f>'Part VII-Pro Forma'!D65</f>
        <v>38569.250191049374</v>
      </c>
      <c r="I29" s="682">
        <f>'Part VII-Pro Forma'!E65</f>
        <v>35754.855375482926</v>
      </c>
      <c r="N29" s="693"/>
      <c r="O29" s="693"/>
    </row>
    <row r="30" spans="1:17" ht="13.5" customHeight="1">
      <c r="A30" s="588" t="s">
        <v>2834</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-574480.90909090918</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-15373.423317810875</v>
      </c>
      <c r="D33" s="1045">
        <f>'Part VII-Pro Forma'!J23</f>
        <v>-15834.626017345199</v>
      </c>
      <c r="E33" s="1045">
        <f>'Part VII-Pro Forma'!K23</f>
        <v>-16309.664797865556</v>
      </c>
      <c r="F33" s="1045">
        <f>'Part VII-Pro Forma'!B55</f>
        <v>-16798.954741801521</v>
      </c>
      <c r="G33" s="1045">
        <f>'Part VII-Pro Forma'!C55</f>
        <v>-17302.923384055568</v>
      </c>
      <c r="H33" s="1045">
        <f>'Part VII-Pro Forma'!D55</f>
        <v>-17822.011085577233</v>
      </c>
      <c r="I33" s="1045">
        <f>'Part VII-Pro Forma'!E55</f>
        <v>-18356.67141814455</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382987.27272727271</v>
      </c>
      <c r="D35" s="689">
        <f t="shared" si="8"/>
        <v>382987.27272727271</v>
      </c>
      <c r="E35" s="689">
        <f t="shared" si="8"/>
        <v>382987.27272727271</v>
      </c>
      <c r="F35" s="689">
        <f t="shared" si="8"/>
        <v>382987.27272727271</v>
      </c>
      <c r="G35" s="689">
        <f t="shared" si="8"/>
        <v>382987.27272727271</v>
      </c>
      <c r="H35" s="689">
        <f t="shared" si="8"/>
        <v>382987.27272727271</v>
      </c>
      <c r="I35" s="689">
        <f t="shared" si="8"/>
        <v>382987.27272727271</v>
      </c>
    </row>
    <row r="36" spans="1:15" ht="13.5" customHeight="1">
      <c r="A36" s="688" t="s">
        <v>2839</v>
      </c>
      <c r="C36" s="682">
        <f>IF(C$28&lt;=$H$4,($E$4/$H$4),0)+IF(C$28&lt;=$H$5,($E$5/$H$5),0)</f>
        <v>9360.7999999999993</v>
      </c>
      <c r="D36" s="682">
        <f t="shared" ref="D36:I36" si="9">IF(D$28&lt;=$H$4,($E$4/$H$4),0)+IF(D$28&lt;=$H$5,($E$5/$H$5),0)</f>
        <v>9360.7999999999993</v>
      </c>
      <c r="E36" s="682">
        <f t="shared" si="9"/>
        <v>9360.7999999999993</v>
      </c>
      <c r="F36" s="682">
        <f t="shared" si="9"/>
        <v>9360.7999999999993</v>
      </c>
      <c r="G36" s="682">
        <f t="shared" si="9"/>
        <v>9360.7999999999993</v>
      </c>
      <c r="H36" s="682">
        <f t="shared" si="9"/>
        <v>9360.7999999999993</v>
      </c>
      <c r="I36" s="682">
        <f t="shared" si="9"/>
        <v>9360.7999999999993</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998900</v>
      </c>
      <c r="D41" s="690">
        <f>C41</f>
        <v>998900</v>
      </c>
      <c r="E41" s="690">
        <f>D41</f>
        <v>998900</v>
      </c>
      <c r="F41" s="690">
        <v>0</v>
      </c>
      <c r="G41" s="690">
        <v>0</v>
      </c>
      <c r="H41" s="690">
        <v>0</v>
      </c>
      <c r="I41" s="690">
        <v>0</v>
      </c>
    </row>
    <row r="42" spans="1:15" ht="13.5" customHeight="1">
      <c r="A42" s="588" t="s">
        <v>2846</v>
      </c>
      <c r="C42" s="690">
        <f>C22</f>
        <v>998900</v>
      </c>
      <c r="D42" s="690">
        <f>C42</f>
        <v>998900</v>
      </c>
      <c r="E42" s="690">
        <f>D42</f>
        <v>998900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32772.918469023483</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-18907.371560688887</v>
      </c>
      <c r="D53" s="1045">
        <f>'Part VII-Pro Forma'!G55</f>
        <v>-19474.592707509557</v>
      </c>
      <c r="E53" s="1045">
        <f>'Part VII-Pro Forma'!H55</f>
        <v>-20058.830488734839</v>
      </c>
      <c r="F53" s="1045">
        <f>'Part VII-Pro Forma'!I55</f>
        <v>-20660.595403396885</v>
      </c>
      <c r="G53" s="1045">
        <f>'Part VII-Pro Forma'!J55</f>
        <v>-21280.413265498792</v>
      </c>
      <c r="H53" s="1045">
        <f>'Part VII-Pro Forma'!K55</f>
        <v>-21918.825663463755</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382987.27272727271</v>
      </c>
      <c r="D55" s="689">
        <f t="shared" si="14"/>
        <v>382987.27272727271</v>
      </c>
      <c r="E55" s="689">
        <f t="shared" si="14"/>
        <v>382987.27272727271</v>
      </c>
      <c r="F55" s="689">
        <f t="shared" si="14"/>
        <v>382987.27272727271</v>
      </c>
      <c r="G55" s="689">
        <f t="shared" si="14"/>
        <v>382987.27272727271</v>
      </c>
      <c r="H55" s="689">
        <f t="shared" si="14"/>
        <v>382987.27272727271</v>
      </c>
    </row>
    <row r="56" spans="1:10" ht="13.5" customHeight="1">
      <c r="A56" s="688" t="s">
        <v>2839</v>
      </c>
      <c r="C56" s="682">
        <f t="shared" ref="C56:H56" si="15">IF(C$48&lt;=$H$4,($E$4/$H$4),0)+IF(C$48&lt;=$H$5,($E$5/$H$5),0)</f>
        <v>9360.7999999999993</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2" t="str">
        <f>'Sensitivity Analysis'!C8</f>
        <v>Sparrow Pointe</v>
      </c>
      <c r="B1" s="4472"/>
      <c r="C1" s="4472"/>
      <c r="D1" s="4472"/>
      <c r="E1" s="4472"/>
      <c r="F1" s="4472"/>
      <c r="G1" s="4472"/>
      <c r="H1" s="4472"/>
      <c r="I1" s="4472"/>
      <c r="J1" s="4472"/>
      <c r="K1" s="4472"/>
    </row>
    <row r="2" spans="1:11" s="1543" customFormat="1" ht="17.45" customHeight="1">
      <c r="A2" s="4471" t="s">
        <v>3006</v>
      </c>
      <c r="B2" s="4471"/>
      <c r="C2" s="4471"/>
      <c r="D2" s="4471"/>
      <c r="E2" s="4471"/>
      <c r="F2" s="4471"/>
      <c r="G2" s="4471"/>
      <c r="H2" s="4471"/>
      <c r="I2" s="4471"/>
      <c r="J2" s="4471"/>
      <c r="K2" s="4471"/>
    </row>
    <row r="3" spans="1:11" ht="9" customHeight="1">
      <c r="A3" s="1542"/>
      <c r="B3" s="1542"/>
      <c r="C3" s="1542"/>
      <c r="D3" s="1542"/>
      <c r="E3" s="1542"/>
      <c r="G3" s="1542"/>
      <c r="H3" s="1542"/>
      <c r="J3" s="1542"/>
      <c r="K3" s="1542"/>
    </row>
    <row r="4" spans="1:11" ht="12.6" customHeight="1">
      <c r="A4" s="4473" t="s">
        <v>6269</v>
      </c>
      <c r="B4" s="4473"/>
      <c r="C4" s="1544"/>
      <c r="D4" s="4473" t="s">
        <v>6270</v>
      </c>
      <c r="E4" s="4473"/>
      <c r="F4" s="1545"/>
      <c r="G4" s="4473" t="s">
        <v>6271</v>
      </c>
      <c r="H4" s="4473"/>
      <c r="I4" s="1545"/>
      <c r="J4" s="4473" t="s">
        <v>6429</v>
      </c>
      <c r="K4" s="4473"/>
    </row>
    <row r="5" spans="1:11" ht="25.9" customHeight="1">
      <c r="A5" s="4474">
        <f>'Part III-Sources of Funds'!E40</f>
        <v>0</v>
      </c>
      <c r="B5" s="4475"/>
      <c r="C5" s="1543"/>
      <c r="D5" s="4474">
        <f>'Part III-Sources of Funds'!E41</f>
        <v>0</v>
      </c>
      <c r="E5" s="4475"/>
      <c r="F5" s="1546"/>
      <c r="G5" s="4474">
        <f>'Part III-Sources of Funds'!E42</f>
        <v>0</v>
      </c>
      <c r="H5" s="4475"/>
      <c r="I5" s="1546"/>
      <c r="J5" s="4474">
        <f>'Part III-Sources of Funds'!E43</f>
        <v>0</v>
      </c>
      <c r="K5" s="4475"/>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133" t="str">
        <f>CONCATENATE("PART ONE - PROJECT INFORMATION"," - ",$O$7," ",$F$35,", ",'Part I-Project Information'!F39,", ",'Part I-Project Information'!J40," County")</f>
        <v>PART ONE - PROJECT INFORMATION - 2021-050 Sparrow Pointe, Rome, Floyd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6281</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164" t="s">
        <v>6832</v>
      </c>
      <c r="C7" s="3164"/>
      <c r="D7" s="3164"/>
      <c r="E7" s="1067"/>
      <c r="F7" s="292"/>
      <c r="G7" s="266" t="s">
        <v>6294</v>
      </c>
      <c r="H7" s="2629"/>
      <c r="I7" s="2629"/>
      <c r="J7" s="2629"/>
      <c r="O7" s="3136" t="s">
        <v>7013</v>
      </c>
      <c r="P7" s="3137"/>
      <c r="Z7" s="1773">
        <v>7</v>
      </c>
    </row>
    <row r="8" spans="1:26" s="289" customFormat="1" ht="12" customHeight="1">
      <c r="B8" s="3164"/>
      <c r="C8" s="3164"/>
      <c r="D8" s="3164"/>
      <c r="E8" s="1067"/>
      <c r="F8" s="490"/>
      <c r="G8" s="170" t="s">
        <v>3079</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3402</v>
      </c>
      <c r="I10" s="3138">
        <f>'Part IV-A-Uses of Funds'!$J$197</f>
        <v>998900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6851</v>
      </c>
      <c r="G12" s="3143"/>
      <c r="H12" s="3144"/>
      <c r="I12" s="2675" t="s">
        <v>3346</v>
      </c>
      <c r="J12" s="474" t="s">
        <v>6606</v>
      </c>
      <c r="K12" s="299"/>
      <c r="L12" s="2629"/>
      <c r="O12" s="3145" t="s">
        <v>6966</v>
      </c>
      <c r="P12" s="3146"/>
      <c r="Z12" s="1773">
        <v>12</v>
      </c>
    </row>
    <row r="13" spans="1:26" s="289" customFormat="1" ht="12.75" customHeight="1">
      <c r="A13" s="1711"/>
      <c r="B13" s="1326"/>
      <c r="C13" s="1326"/>
      <c r="D13" s="1326"/>
      <c r="E13" s="1326"/>
      <c r="H13" s="2629"/>
      <c r="J13" s="1011" t="s">
        <v>4082</v>
      </c>
      <c r="K13" s="1662"/>
      <c r="M13" s="2629"/>
      <c r="O13" s="3165" t="s">
        <v>2772</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4285</v>
      </c>
      <c r="C15" s="1326"/>
      <c r="D15" s="1326"/>
      <c r="E15" s="1326"/>
      <c r="F15" s="2676" t="s">
        <v>2769</v>
      </c>
      <c r="G15" s="2620" t="s">
        <v>4286</v>
      </c>
      <c r="N15" s="3142" t="s">
        <v>6851</v>
      </c>
      <c r="O15" s="3143"/>
      <c r="P15" s="3144"/>
      <c r="Z15" s="1773">
        <v>15</v>
      </c>
    </row>
    <row r="16" spans="1:26" s="289" customFormat="1" ht="12.75" customHeight="1">
      <c r="A16" s="1711"/>
      <c r="B16" s="289" t="s">
        <v>4279</v>
      </c>
      <c r="D16" s="299"/>
      <c r="F16" s="3178" t="s">
        <v>6852</v>
      </c>
      <c r="G16" s="3179"/>
      <c r="H16" s="3179"/>
      <c r="I16" s="3180"/>
      <c r="J16" s="289" t="s">
        <v>4117</v>
      </c>
      <c r="L16" s="3176" t="s">
        <v>6853</v>
      </c>
      <c r="M16" s="3177"/>
      <c r="N16" s="289" t="s">
        <v>4116</v>
      </c>
      <c r="P16" s="2677" t="s">
        <v>2772</v>
      </c>
      <c r="Z16" s="1773">
        <v>16</v>
      </c>
    </row>
    <row r="17" spans="1:26" s="289" customFormat="1" ht="12.75" customHeight="1">
      <c r="A17" s="1711"/>
      <c r="B17" s="289" t="s">
        <v>3401</v>
      </c>
      <c r="F17" s="2676" t="s">
        <v>2772</v>
      </c>
      <c r="G17" s="289" t="s">
        <v>4075</v>
      </c>
      <c r="H17" s="2629"/>
      <c r="I17" s="170"/>
      <c r="J17" s="475"/>
      <c r="N17" s="3182" t="s">
        <v>2676</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3435</v>
      </c>
      <c r="F21" s="3160" t="s">
        <v>6854</v>
      </c>
      <c r="G21" s="3161"/>
      <c r="H21" s="3162"/>
      <c r="I21" s="1246" t="s">
        <v>1716</v>
      </c>
      <c r="J21" s="3160" t="s">
        <v>6855</v>
      </c>
      <c r="K21" s="3161"/>
      <c r="L21" s="3162"/>
      <c r="M21" s="321" t="s">
        <v>1890</v>
      </c>
      <c r="N21" s="3176" t="s">
        <v>2362</v>
      </c>
      <c r="O21" s="3174"/>
      <c r="P21" s="3177"/>
      <c r="Z21" s="1773">
        <v>21</v>
      </c>
    </row>
    <row r="22" spans="1:26" s="289" customFormat="1" ht="13.35" customHeight="1">
      <c r="B22" s="2618" t="s">
        <v>1891</v>
      </c>
      <c r="F22" s="3147" t="s">
        <v>6990</v>
      </c>
      <c r="G22" s="3148"/>
      <c r="H22" s="3148"/>
      <c r="I22" s="3149"/>
      <c r="J22" s="3148"/>
      <c r="K22" s="3150"/>
      <c r="L22" s="3151"/>
      <c r="M22" s="3155" t="s">
        <v>3434</v>
      </c>
      <c r="N22" s="3156"/>
      <c r="O22" s="3156"/>
      <c r="P22" s="3156"/>
      <c r="Z22" s="1773">
        <v>22</v>
      </c>
    </row>
    <row r="23" spans="1:26" s="289" customFormat="1" ht="13.35" customHeight="1">
      <c r="B23" s="2618" t="s">
        <v>588</v>
      </c>
      <c r="F23" s="3147" t="s">
        <v>6991</v>
      </c>
      <c r="G23" s="3148"/>
      <c r="H23" s="3154"/>
      <c r="I23" s="2618" t="s">
        <v>1717</v>
      </c>
      <c r="J23" s="2678" t="s">
        <v>814</v>
      </c>
      <c r="M23" s="3155"/>
      <c r="N23" s="3155"/>
      <c r="O23" s="3155"/>
      <c r="P23" s="3155"/>
      <c r="Z23" s="1773">
        <v>23</v>
      </c>
    </row>
    <row r="24" spans="1:26" s="289" customFormat="1" ht="13.35" customHeight="1">
      <c r="B24" s="2620" t="s">
        <v>2128</v>
      </c>
      <c r="F24" s="3157">
        <v>327517473</v>
      </c>
      <c r="G24" s="3158"/>
      <c r="H24" s="3159"/>
      <c r="I24" s="2618" t="s">
        <v>1643</v>
      </c>
      <c r="J24" s="3181">
        <v>4073412830</v>
      </c>
      <c r="K24" s="3153"/>
      <c r="L24" s="2635" t="s">
        <v>1642</v>
      </c>
      <c r="M24" s="2679"/>
      <c r="N24" s="2620" t="s">
        <v>1644</v>
      </c>
      <c r="O24" s="3152">
        <v>4073412830</v>
      </c>
      <c r="P24" s="3153"/>
      <c r="Z24" s="1773">
        <v>24</v>
      </c>
    </row>
    <row r="25" spans="1:26" s="289" customFormat="1" ht="13.35" customHeight="1">
      <c r="B25" s="2620" t="s">
        <v>1894</v>
      </c>
      <c r="F25" s="3173" t="s">
        <v>6989</v>
      </c>
      <c r="G25" s="3149"/>
      <c r="H25" s="3149"/>
      <c r="I25" s="3174"/>
      <c r="J25" s="3149"/>
      <c r="K25" s="3175"/>
      <c r="N25" s="2620" t="s">
        <v>1889</v>
      </c>
      <c r="O25" s="3167"/>
      <c r="P25" s="3168"/>
      <c r="Z25" s="1773">
        <v>25</v>
      </c>
    </row>
    <row r="26" spans="1:26" s="289" customFormat="1" ht="13.5" customHeight="1">
      <c r="A26" s="1711"/>
      <c r="B26" s="291" t="s">
        <v>3824</v>
      </c>
      <c r="C26" s="297"/>
      <c r="D26" s="2627"/>
      <c r="E26" s="2627"/>
      <c r="F26" s="2627"/>
      <c r="H26" s="2629"/>
      <c r="I26" s="2627"/>
      <c r="J26" s="297"/>
      <c r="K26" s="2627"/>
      <c r="P26" s="298"/>
      <c r="Z26" s="1773">
        <v>26</v>
      </c>
    </row>
    <row r="27" spans="1:26" s="289" customFormat="1" ht="13.35" customHeight="1">
      <c r="B27" s="289" t="s">
        <v>3435</v>
      </c>
      <c r="F27" s="3160" t="s">
        <v>6854</v>
      </c>
      <c r="G27" s="3161"/>
      <c r="H27" s="3162"/>
      <c r="I27" s="1246" t="s">
        <v>1716</v>
      </c>
      <c r="J27" s="3160" t="s">
        <v>6858</v>
      </c>
      <c r="K27" s="3161"/>
      <c r="L27" s="3162"/>
      <c r="M27" s="321" t="s">
        <v>1890</v>
      </c>
      <c r="N27" s="3176" t="s">
        <v>6859</v>
      </c>
      <c r="O27" s="3174"/>
      <c r="P27" s="3177"/>
      <c r="Z27" s="1773">
        <v>27</v>
      </c>
    </row>
    <row r="28" spans="1:26" s="289" customFormat="1" ht="13.35" customHeight="1">
      <c r="B28" s="2618" t="s">
        <v>1891</v>
      </c>
      <c r="F28" s="3147" t="s">
        <v>6990</v>
      </c>
      <c r="G28" s="3148"/>
      <c r="H28" s="3148"/>
      <c r="I28" s="3149"/>
      <c r="J28" s="3148"/>
      <c r="K28" s="3150"/>
      <c r="L28" s="3151"/>
      <c r="M28" s="3155" t="s">
        <v>3434</v>
      </c>
      <c r="N28" s="3156"/>
      <c r="O28" s="3156"/>
      <c r="P28" s="3156"/>
      <c r="Z28" s="1773">
        <v>28</v>
      </c>
    </row>
    <row r="29" spans="1:26" s="289" customFormat="1" ht="13.35" customHeight="1">
      <c r="B29" s="2618" t="s">
        <v>588</v>
      </c>
      <c r="F29" s="3147" t="s">
        <v>6991</v>
      </c>
      <c r="G29" s="3148"/>
      <c r="H29" s="3154"/>
      <c r="I29" s="2618" t="s">
        <v>1717</v>
      </c>
      <c r="J29" s="2678" t="s">
        <v>814</v>
      </c>
      <c r="M29" s="3155"/>
      <c r="N29" s="3155"/>
      <c r="O29" s="3155"/>
      <c r="P29" s="3155"/>
      <c r="Z29" s="1773">
        <v>29</v>
      </c>
    </row>
    <row r="30" spans="1:26" s="289" customFormat="1" ht="13.35" customHeight="1">
      <c r="B30" s="2620" t="s">
        <v>2128</v>
      </c>
      <c r="F30" s="3157">
        <v>327517473</v>
      </c>
      <c r="G30" s="3158"/>
      <c r="H30" s="3159"/>
      <c r="I30" s="2618" t="s">
        <v>1643</v>
      </c>
      <c r="J30" s="3181">
        <v>8505970851</v>
      </c>
      <c r="K30" s="3153"/>
      <c r="L30" s="2635" t="s">
        <v>1642</v>
      </c>
      <c r="M30" s="2679"/>
      <c r="N30" s="2620" t="s">
        <v>1644</v>
      </c>
      <c r="O30" s="3152">
        <v>8505970851</v>
      </c>
      <c r="P30" s="3153"/>
      <c r="Z30" s="1773">
        <v>30</v>
      </c>
    </row>
    <row r="31" spans="1:26" s="289" customFormat="1" ht="13.35" customHeight="1">
      <c r="B31" s="2620" t="s">
        <v>1894</v>
      </c>
      <c r="F31" s="3173" t="s">
        <v>6857</v>
      </c>
      <c r="G31" s="3149"/>
      <c r="H31" s="3149"/>
      <c r="I31" s="3174"/>
      <c r="J31" s="3149"/>
      <c r="K31" s="3175"/>
      <c r="N31" s="2620" t="s">
        <v>1889</v>
      </c>
      <c r="O31" s="3167"/>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6852</v>
      </c>
      <c r="G35" s="3190"/>
      <c r="H35" s="3190"/>
      <c r="I35" s="3190"/>
      <c r="J35" s="3190"/>
      <c r="K35" s="3191"/>
      <c r="L35" s="2620" t="s">
        <v>2097</v>
      </c>
      <c r="O35" s="3160" t="s">
        <v>2772</v>
      </c>
      <c r="P35" s="3162"/>
      <c r="Z35" s="1773">
        <v>35</v>
      </c>
    </row>
    <row r="36" spans="1:26" s="289" customFormat="1" ht="13.35" customHeight="1">
      <c r="A36" s="300"/>
      <c r="B36" s="289" t="s">
        <v>2548</v>
      </c>
      <c r="D36" s="301"/>
      <c r="F36" s="3169" t="s">
        <v>6860</v>
      </c>
      <c r="G36" s="3170"/>
      <c r="H36" s="3170"/>
      <c r="I36" s="3170"/>
      <c r="J36" s="3170"/>
      <c r="K36" s="3171"/>
      <c r="L36" s="289" t="s">
        <v>3321</v>
      </c>
      <c r="O36" s="3172"/>
      <c r="P36" s="3154"/>
      <c r="Z36" s="1773">
        <v>36</v>
      </c>
    </row>
    <row r="37" spans="1:26" s="289" customFormat="1" ht="13.35" customHeight="1">
      <c r="A37" s="300"/>
      <c r="B37" s="289" t="s">
        <v>2572</v>
      </c>
      <c r="D37" s="301"/>
      <c r="F37" s="3172" t="s">
        <v>6861</v>
      </c>
      <c r="G37" s="3148"/>
      <c r="H37" s="3148"/>
      <c r="I37" s="3150"/>
      <c r="J37" s="3148"/>
      <c r="K37" s="3154"/>
      <c r="L37" s="2620" t="s">
        <v>1958</v>
      </c>
      <c r="N37" s="2679" t="s">
        <v>2772</v>
      </c>
      <c r="O37" s="2629" t="s">
        <v>3320</v>
      </c>
      <c r="P37" s="2680"/>
      <c r="Z37" s="1773">
        <v>37</v>
      </c>
    </row>
    <row r="38" spans="1:26" s="289" customFormat="1" ht="13.35" customHeight="1">
      <c r="A38" s="300"/>
      <c r="B38" s="289" t="s">
        <v>3362</v>
      </c>
      <c r="D38" s="301"/>
      <c r="F38" s="289" t="s">
        <v>3347</v>
      </c>
      <c r="G38" s="3185">
        <v>34.266750000000002</v>
      </c>
      <c r="H38" s="3186"/>
      <c r="I38" s="2635" t="s">
        <v>3348</v>
      </c>
      <c r="J38" s="3185">
        <v>-85.180031</v>
      </c>
      <c r="K38" s="3186"/>
      <c r="L38" s="2620" t="s">
        <v>2180</v>
      </c>
      <c r="O38" s="3192">
        <v>7.1</v>
      </c>
      <c r="P38" s="3193"/>
      <c r="Z38" s="1773">
        <v>38</v>
      </c>
    </row>
    <row r="39" spans="1:26" s="289" customFormat="1" ht="13.35" customHeight="1">
      <c r="A39" s="1711"/>
      <c r="B39" s="289" t="s">
        <v>588</v>
      </c>
      <c r="F39" s="3160" t="s">
        <v>2165</v>
      </c>
      <c r="G39" s="3203"/>
      <c r="H39" s="3204"/>
      <c r="I39" s="305" t="s">
        <v>2549</v>
      </c>
      <c r="J39" s="3157">
        <v>301651615</v>
      </c>
      <c r="K39" s="3159"/>
      <c r="L39" s="356" t="str">
        <f>IF(AND(NOT(F35=""),NOT(F39="Select from list"),J39=""),"Enter Zip!","")</f>
        <v/>
      </c>
      <c r="M39" s="303" t="s">
        <v>2693</v>
      </c>
      <c r="O39" s="3187" t="s">
        <v>5163</v>
      </c>
      <c r="P39" s="3188"/>
      <c r="Z39" s="1773">
        <v>39</v>
      </c>
    </row>
    <row r="40" spans="1:26" s="289" customFormat="1" ht="13.35" customHeight="1">
      <c r="A40" s="1711"/>
      <c r="B40" s="2627" t="s">
        <v>4096</v>
      </c>
      <c r="D40" s="2627"/>
      <c r="F40" s="3172" t="s">
        <v>6862</v>
      </c>
      <c r="G40" s="3150"/>
      <c r="H40" s="3151"/>
      <c r="I40" s="302" t="s">
        <v>589</v>
      </c>
      <c r="J40" s="3197" t="str">
        <f>IF(F39="","",VLOOKUP(F39,'DCA Underwriting Assumptions'!$T$174:$U$803,2,FALSE))</f>
        <v>Floyd</v>
      </c>
      <c r="K40" s="3198"/>
      <c r="M40" s="2620" t="s">
        <v>431</v>
      </c>
      <c r="N40" s="2681" t="s">
        <v>2769</v>
      </c>
      <c r="O40" s="2629" t="s">
        <v>432</v>
      </c>
      <c r="P40" s="2677" t="s">
        <v>2772</v>
      </c>
      <c r="Z40" s="1773">
        <v>40</v>
      </c>
    </row>
    <row r="41" spans="1:26" s="289" customFormat="1" ht="13.35" customHeight="1">
      <c r="A41" s="1711"/>
      <c r="B41" s="291"/>
      <c r="C41" s="289" t="s">
        <v>1494</v>
      </c>
      <c r="F41" s="2682" t="s">
        <v>2772</v>
      </c>
      <c r="G41" s="2623"/>
      <c r="H41" s="2624"/>
      <c r="I41" s="1617"/>
      <c r="J41" s="2635" t="s">
        <v>2610</v>
      </c>
      <c r="K41" s="1362" t="str">
        <f>IF(OR(F41="Yes",I41="Yes"),"Rural","Urban")</f>
        <v>Urban</v>
      </c>
      <c r="M41" s="2620" t="s">
        <v>2487</v>
      </c>
      <c r="N41" s="1363" t="str">
        <f>VLOOKUP($J$40,'DCA Underwriting Assumptions'!$G$174:$J$333,4)</f>
        <v>MSA</v>
      </c>
      <c r="O41" s="3199" t="str">
        <f>IF($F$39="","",VLOOKUP($J$40,'DCA Underwriting Assumptions'!$G$174:$L$333,3,FALSE))</f>
        <v>Rome</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1" t="s">
        <v>2592</v>
      </c>
      <c r="G43" s="3201"/>
      <c r="H43" s="3202" t="s">
        <v>706</v>
      </c>
      <c r="I43" s="3202"/>
      <c r="J43" s="3202" t="s">
        <v>707</v>
      </c>
      <c r="K43" s="3202"/>
      <c r="L43" s="468" t="s">
        <v>4015</v>
      </c>
      <c r="Z43" s="1773">
        <v>43</v>
      </c>
    </row>
    <row r="44" spans="1:26" s="289" customFormat="1" ht="13.35" customHeight="1">
      <c r="A44" s="1711"/>
      <c r="B44" s="289" t="s">
        <v>2591</v>
      </c>
      <c r="D44" s="291"/>
      <c r="F44" s="3194">
        <v>14</v>
      </c>
      <c r="G44" s="3195"/>
      <c r="H44" s="3194">
        <v>52</v>
      </c>
      <c r="I44" s="3195"/>
      <c r="J44" s="3194">
        <v>13</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2590</v>
      </c>
      <c r="N45" s="3207" t="s">
        <v>2589</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6863</v>
      </c>
      <c r="G47" s="3216"/>
      <c r="H47" s="3216"/>
      <c r="I47" s="3217"/>
      <c r="J47" s="3216"/>
      <c r="K47" s="3218"/>
      <c r="L47" s="771" t="s">
        <v>2553</v>
      </c>
      <c r="M47" s="3176" t="s">
        <v>6866</v>
      </c>
      <c r="N47" s="3174"/>
      <c r="O47" s="3174"/>
      <c r="P47" s="3177"/>
      <c r="Z47" s="1773">
        <v>47</v>
      </c>
    </row>
    <row r="48" spans="1:26" s="289" customFormat="1" ht="13.35" customHeight="1">
      <c r="A48" s="1711"/>
      <c r="B48" s="289" t="s">
        <v>608</v>
      </c>
      <c r="F48" s="3219" t="s">
        <v>6867</v>
      </c>
      <c r="G48" s="3220"/>
      <c r="H48" s="3221"/>
      <c r="I48" s="916" t="s">
        <v>1890</v>
      </c>
      <c r="J48" s="3169" t="s">
        <v>6864</v>
      </c>
      <c r="K48" s="3171"/>
      <c r="L48" s="771"/>
      <c r="Z48" s="1773">
        <v>48</v>
      </c>
    </row>
    <row r="49" spans="1:26" s="289" customFormat="1" ht="13.35" customHeight="1">
      <c r="A49" s="1711"/>
      <c r="B49" s="289" t="s">
        <v>1891</v>
      </c>
      <c r="F49" s="3222" t="s">
        <v>6865</v>
      </c>
      <c r="G49" s="3223"/>
      <c r="H49" s="3224"/>
      <c r="I49" s="3216"/>
      <c r="J49" s="3223"/>
      <c r="K49" s="3225"/>
      <c r="L49" s="2619" t="s">
        <v>588</v>
      </c>
      <c r="M49" s="3226" t="s">
        <v>2165</v>
      </c>
      <c r="N49" s="3227"/>
      <c r="O49" s="3227"/>
      <c r="P49" s="3228"/>
      <c r="Z49" s="1773">
        <v>49</v>
      </c>
    </row>
    <row r="50" spans="1:26" s="289" customFormat="1" ht="13.35" customHeight="1">
      <c r="A50" s="1711"/>
      <c r="B50" s="2620" t="s">
        <v>2128</v>
      </c>
      <c r="F50" s="3230">
        <v>301610000</v>
      </c>
      <c r="G50" s="3231"/>
      <c r="H50" s="2635" t="s">
        <v>1892</v>
      </c>
      <c r="I50" s="3232">
        <v>7062910208</v>
      </c>
      <c r="J50" s="3233"/>
      <c r="K50" s="3234"/>
      <c r="L50" s="2618" t="s">
        <v>1718</v>
      </c>
      <c r="M50" s="3235" t="s">
        <v>6868</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50</v>
      </c>
      <c r="K55" s="2618" t="s">
        <v>3313</v>
      </c>
      <c r="L55" s="289"/>
      <c r="M55" s="804" t="s">
        <v>3312</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2772</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3257</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50</v>
      </c>
      <c r="I62" s="575">
        <f>'Part VI-Revenues &amp; Expenses'!$P$100</f>
        <v>0</v>
      </c>
      <c r="J62" s="1711"/>
      <c r="K62" s="297" t="s">
        <v>2600</v>
      </c>
      <c r="M62" s="2627"/>
      <c r="N62" s="2627"/>
      <c r="O62" s="2627"/>
      <c r="P62" s="750">
        <f>'Part VI-Revenues &amp; Expenses'!P164</f>
        <v>42540</v>
      </c>
      <c r="Z62" s="1773">
        <v>62</v>
      </c>
    </row>
    <row r="63" spans="1:26" s="289" customFormat="1" ht="13.35" customHeight="1">
      <c r="A63" s="1711"/>
      <c r="C63" s="297" t="s">
        <v>242</v>
      </c>
      <c r="D63" s="2627"/>
      <c r="E63" s="2627"/>
      <c r="H63" s="1747">
        <f>'Part VI-Revenues &amp; Expenses'!$P$64</f>
        <v>0</v>
      </c>
      <c r="J63" s="1711"/>
      <c r="K63" s="297" t="s">
        <v>2601</v>
      </c>
      <c r="M63" s="2627"/>
      <c r="N63" s="2627"/>
      <c r="O63" s="2627"/>
      <c r="P63" s="1747">
        <f>'Part VI-Revenues &amp; Expenses'!$P$165</f>
        <v>0</v>
      </c>
      <c r="Z63" s="1773">
        <v>63</v>
      </c>
    </row>
    <row r="64" spans="1:26" s="289" customFormat="1" ht="13.35" customHeight="1">
      <c r="A64" s="1711"/>
      <c r="C64" s="297" t="s">
        <v>2297</v>
      </c>
      <c r="D64" s="2627"/>
      <c r="E64" s="2627"/>
      <c r="H64" s="1747">
        <f>H62+H63</f>
        <v>50</v>
      </c>
      <c r="J64" s="1711"/>
      <c r="K64" s="297" t="s">
        <v>2602</v>
      </c>
      <c r="M64" s="2627"/>
      <c r="N64" s="2627"/>
      <c r="O64" s="2627"/>
      <c r="P64" s="1747">
        <f>P62+P63</f>
        <v>42540</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50</v>
      </c>
      <c r="J66" s="2627"/>
      <c r="K66" s="297" t="s">
        <v>1369</v>
      </c>
      <c r="M66" s="2627"/>
      <c r="N66" s="2627"/>
      <c r="O66" s="2627"/>
      <c r="P66" s="311">
        <f>+P64+P65</f>
        <v>42540</v>
      </c>
      <c r="Z66" s="1773">
        <v>66</v>
      </c>
    </row>
    <row r="67" spans="1:26" s="289" customFormat="1" ht="3" customHeight="1">
      <c r="A67" s="1711"/>
      <c r="I67" s="2629"/>
      <c r="L67" s="2629"/>
      <c r="M67" s="2629"/>
      <c r="N67" s="2627"/>
      <c r="P67" s="298"/>
      <c r="Z67" s="1773">
        <v>67</v>
      </c>
    </row>
    <row r="68" spans="1:26" s="289" customFormat="1" ht="11.25" customHeight="1">
      <c r="A68" s="1711"/>
      <c r="H68" s="2635" t="s">
        <v>3441</v>
      </c>
      <c r="I68" s="2635" t="s">
        <v>2543</v>
      </c>
      <c r="L68" s="2629"/>
      <c r="M68" s="2629"/>
      <c r="N68" s="2627"/>
      <c r="P68" s="298"/>
      <c r="Z68" s="1773">
        <v>68</v>
      </c>
    </row>
    <row r="69" spans="1:26" s="289" customFormat="1" ht="13.35" customHeight="1">
      <c r="A69" s="1711"/>
      <c r="B69" s="1711" t="s">
        <v>1656</v>
      </c>
      <c r="C69" s="299" t="s">
        <v>2194</v>
      </c>
      <c r="D69" s="312" t="s">
        <v>1906</v>
      </c>
      <c r="G69" s="2627"/>
      <c r="H69" s="2685">
        <v>1</v>
      </c>
      <c r="I69" s="2685"/>
      <c r="K69" s="297" t="s">
        <v>4070</v>
      </c>
      <c r="O69" s="2627"/>
      <c r="P69" s="2686">
        <v>13585</v>
      </c>
      <c r="Z69" s="1773">
        <v>69</v>
      </c>
    </row>
    <row r="70" spans="1:26" s="289" customFormat="1" ht="13.35" customHeight="1">
      <c r="A70" s="1711"/>
      <c r="B70" s="1711"/>
      <c r="D70" s="2621" t="s">
        <v>1907</v>
      </c>
      <c r="H70" s="2687">
        <v>0</v>
      </c>
      <c r="I70" s="2687"/>
      <c r="K70" s="297" t="s">
        <v>241</v>
      </c>
      <c r="O70" s="2627"/>
      <c r="P70" s="311">
        <f>+P66+P69</f>
        <v>56125</v>
      </c>
      <c r="Z70" s="1773">
        <v>70</v>
      </c>
    </row>
    <row r="71" spans="1:26" s="289" customFormat="1" ht="13.35" customHeight="1">
      <c r="A71" s="1711"/>
      <c r="B71" s="1711"/>
      <c r="D71" s="2621" t="s">
        <v>1908</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75</v>
      </c>
      <c r="K73" s="3229" t="s">
        <v>6776</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6601</v>
      </c>
      <c r="D77" s="1298"/>
      <c r="E77" s="1739" t="s">
        <v>6602</v>
      </c>
      <c r="F77" s="2627"/>
      <c r="G77" s="2629"/>
      <c r="H77" s="3238" t="s">
        <v>2700</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6603</v>
      </c>
      <c r="K79" s="3213" t="s">
        <v>4024</v>
      </c>
      <c r="L79" s="314" t="s">
        <v>2698</v>
      </c>
      <c r="M79" s="2688"/>
      <c r="N79" s="314" t="s">
        <v>2699</v>
      </c>
      <c r="O79" s="2688"/>
      <c r="P79" s="2618" t="s">
        <v>4023</v>
      </c>
      <c r="Z79" s="1773">
        <v>79</v>
      </c>
    </row>
    <row r="80" spans="1:26" s="289" customFormat="1">
      <c r="A80" s="1711"/>
      <c r="B80" s="1711"/>
      <c r="D80" s="2620"/>
      <c r="E80" s="1298"/>
      <c r="J80" s="1296"/>
      <c r="K80" s="3213"/>
      <c r="L80" s="301" t="s">
        <v>2700</v>
      </c>
      <c r="M80" s="2687">
        <v>50</v>
      </c>
      <c r="N80" s="301" t="s">
        <v>3431</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6604</v>
      </c>
      <c r="D82" s="1298"/>
      <c r="E82" s="1739" t="s">
        <v>6605</v>
      </c>
      <c r="F82" s="2627"/>
      <c r="G82" s="2629"/>
      <c r="H82" s="3241" t="s">
        <v>6777</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4024</v>
      </c>
      <c r="L84" s="314" t="s">
        <v>2698</v>
      </c>
      <c r="M84" s="2688"/>
      <c r="N84" s="314" t="s">
        <v>2699</v>
      </c>
      <c r="O84" s="2688"/>
      <c r="P84" s="2618" t="s">
        <v>4023</v>
      </c>
      <c r="Z84" s="1773">
        <v>84</v>
      </c>
    </row>
    <row r="85" spans="1:26" s="289" customFormat="1">
      <c r="A85" s="1711"/>
      <c r="B85" s="1711"/>
      <c r="D85" s="2620"/>
      <c r="E85" s="1298"/>
      <c r="J85" s="1296"/>
      <c r="K85" s="3213"/>
      <c r="L85" s="301" t="s">
        <v>2700</v>
      </c>
      <c r="M85" s="2687"/>
      <c r="N85" s="301" t="s">
        <v>3431</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3</v>
      </c>
      <c r="K87" s="3214" t="s">
        <v>495</v>
      </c>
      <c r="L87" s="3214"/>
      <c r="N87" s="1748">
        <f>IF('Part VI-Revenues &amp; Expenses'!$P$67=0,0,H87/'Part VI-Revenues &amp; Expenses'!$P$67)</f>
        <v>0.06</v>
      </c>
      <c r="O87" s="301" t="s">
        <v>3330</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0.66666666666666663</v>
      </c>
      <c r="O88" s="301" t="s">
        <v>3330</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1</v>
      </c>
      <c r="K90" s="3214" t="s">
        <v>495</v>
      </c>
      <c r="L90" s="3214"/>
      <c r="N90" s="1364">
        <f>IF('Part VI-Revenues &amp; Expenses'!$P$67=0,0,H90/'Part VI-Revenues &amp; Expenses'!$P$67)</f>
        <v>0.02</v>
      </c>
      <c r="O90" s="301" t="s">
        <v>3330</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3990</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8" t="s">
        <v>3976</v>
      </c>
      <c r="L94" s="3239"/>
      <c r="M94" s="3240"/>
      <c r="N94" s="2627"/>
      <c r="Z94" s="1773">
        <v>94</v>
      </c>
    </row>
    <row r="95" spans="1:26" s="289" customFormat="1" ht="1.5" customHeight="1">
      <c r="A95" s="1711"/>
      <c r="B95" s="1711"/>
      <c r="D95" s="2621"/>
      <c r="F95" s="2621"/>
      <c r="G95" s="2621"/>
      <c r="H95" s="454" t="s">
        <v>4095</v>
      </c>
      <c r="L95" s="2629"/>
      <c r="M95" s="2629"/>
      <c r="Z95" s="1773">
        <v>95</v>
      </c>
    </row>
    <row r="96" spans="1:26" s="289" customFormat="1" ht="13.35" customHeight="1">
      <c r="B96" s="1711" t="s">
        <v>1895</v>
      </c>
      <c r="C96" s="291" t="s">
        <v>1473</v>
      </c>
      <c r="K96" s="2618" t="s">
        <v>4011</v>
      </c>
      <c r="N96" s="316"/>
      <c r="P96" s="2690" t="s">
        <v>6869</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21" t="s">
        <v>3446</v>
      </c>
      <c r="H101" s="2693" t="s">
        <v>2772</v>
      </c>
      <c r="K101" s="2620" t="s">
        <v>6314</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6313</v>
      </c>
      <c r="D105" s="2621"/>
      <c r="H105" s="3238" t="s">
        <v>6318</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2128</v>
      </c>
      <c r="K111" s="3261"/>
      <c r="L111" s="3262"/>
      <c r="M111" s="267" t="s">
        <v>3306</v>
      </c>
      <c r="N111" s="267"/>
      <c r="O111" s="3263"/>
      <c r="P111" s="3264"/>
      <c r="Z111" s="1773">
        <v>111</v>
      </c>
    </row>
    <row r="112" spans="1:26" s="289" customFormat="1" ht="13.35" customHeight="1">
      <c r="C112" s="289" t="s">
        <v>2099</v>
      </c>
      <c r="E112" s="3169"/>
      <c r="F112" s="3249"/>
      <c r="G112" s="3250"/>
      <c r="H112" s="846" t="s">
        <v>1890</v>
      </c>
      <c r="I112" s="3251"/>
      <c r="J112" s="3252"/>
      <c r="K112" s="3253"/>
      <c r="L112" s="2640" t="s">
        <v>1894</v>
      </c>
      <c r="M112" s="3160"/>
      <c r="N112" s="3254"/>
      <c r="O112" s="3255"/>
      <c r="P112" s="3256"/>
      <c r="Z112" s="1773">
        <v>112</v>
      </c>
    </row>
    <row r="113" spans="1:26" s="289" customFormat="1" ht="13.35" customHeight="1">
      <c r="C113" s="2618" t="s">
        <v>2098</v>
      </c>
      <c r="E113" s="3167"/>
      <c r="F113" s="3257"/>
      <c r="G113" s="3168"/>
      <c r="H113" s="846" t="s">
        <v>1719</v>
      </c>
      <c r="I113" s="3167"/>
      <c r="J113" s="3258"/>
      <c r="K113" s="2635" t="s">
        <v>2553</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1</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998900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4" t="s">
        <v>6870</v>
      </c>
      <c r="D125" s="3245"/>
      <c r="E125" s="3245"/>
      <c r="F125" s="3246" t="s">
        <v>6852</v>
      </c>
      <c r="G125" s="3247"/>
      <c r="H125" s="3248"/>
      <c r="I125" s="2697" t="s">
        <v>6871</v>
      </c>
      <c r="J125" s="3244">
        <v>7</v>
      </c>
      <c r="K125" s="3245"/>
      <c r="L125" s="3245"/>
      <c r="M125" s="3246"/>
      <c r="N125" s="3247"/>
      <c r="O125" s="3248"/>
      <c r="P125" s="2697"/>
      <c r="Z125" s="1773">
        <v>125</v>
      </c>
    </row>
    <row r="126" spans="1:26" s="289" customFormat="1" ht="13.35" customHeight="1">
      <c r="A126" s="1711"/>
      <c r="B126" s="1711"/>
      <c r="C126" s="3265" t="s">
        <v>6872</v>
      </c>
      <c r="D126" s="3266"/>
      <c r="E126" s="3266"/>
      <c r="F126" s="3267" t="s">
        <v>6852</v>
      </c>
      <c r="G126" s="3268"/>
      <c r="H126" s="3269"/>
      <c r="I126" s="2698" t="s">
        <v>6871</v>
      </c>
      <c r="J126" s="3265">
        <v>8</v>
      </c>
      <c r="K126" s="3266"/>
      <c r="L126" s="3266"/>
      <c r="M126" s="3267"/>
      <c r="N126" s="3268"/>
      <c r="O126" s="3269"/>
      <c r="P126" s="2698"/>
      <c r="Z126" s="1773">
        <v>126</v>
      </c>
    </row>
    <row r="127" spans="1:26" s="289" customFormat="1" ht="13.35" customHeight="1">
      <c r="A127" s="1711"/>
      <c r="B127" s="1711"/>
      <c r="C127" s="3265" t="s">
        <v>6873</v>
      </c>
      <c r="D127" s="3266"/>
      <c r="E127" s="3266"/>
      <c r="F127" s="3267" t="s">
        <v>6852</v>
      </c>
      <c r="G127" s="3268"/>
      <c r="H127" s="3269"/>
      <c r="I127" s="2698" t="s">
        <v>6871</v>
      </c>
      <c r="J127" s="3265">
        <v>9</v>
      </c>
      <c r="K127" s="3266"/>
      <c r="L127" s="3266"/>
      <c r="M127" s="3267"/>
      <c r="N127" s="3268"/>
      <c r="O127" s="3269"/>
      <c r="P127" s="2698"/>
      <c r="Z127" s="1773">
        <v>127</v>
      </c>
    </row>
    <row r="128" spans="1:26" s="289" customFormat="1" ht="13.35" customHeight="1">
      <c r="A128" s="1711"/>
      <c r="B128" s="1711"/>
      <c r="C128" s="3265" t="s">
        <v>6874</v>
      </c>
      <c r="D128" s="3266"/>
      <c r="E128" s="3266"/>
      <c r="F128" s="3267" t="s">
        <v>6852</v>
      </c>
      <c r="G128" s="3268"/>
      <c r="H128" s="3269"/>
      <c r="I128" s="2698" t="s">
        <v>6871</v>
      </c>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7" t="s">
        <v>1761</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4027</v>
      </c>
      <c r="D142" s="299"/>
      <c r="E142" s="299"/>
      <c r="F142" s="299"/>
      <c r="I142" s="2700" t="s">
        <v>2772</v>
      </c>
      <c r="K142" s="289" t="s">
        <v>6479</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6398</v>
      </c>
      <c r="I144" s="2691" t="s">
        <v>2772</v>
      </c>
      <c r="K144" s="289" t="s">
        <v>6480</v>
      </c>
      <c r="M144" s="2629"/>
      <c r="N144" s="2627"/>
      <c r="O144" s="3275"/>
      <c r="P144" s="3276"/>
      <c r="Z144" s="1773">
        <v>144</v>
      </c>
    </row>
    <row r="145" spans="1:26" s="289" customFormat="1" ht="12" customHeight="1">
      <c r="A145" s="1711"/>
      <c r="B145" s="1711"/>
      <c r="C145" s="2621" t="s">
        <v>2309</v>
      </c>
      <c r="D145" s="2621"/>
      <c r="E145" s="2621"/>
      <c r="F145" s="2629"/>
      <c r="I145" s="2701"/>
      <c r="K145" s="289" t="s">
        <v>6482</v>
      </c>
      <c r="N145" s="2627"/>
      <c r="O145" s="3277"/>
      <c r="P145" s="3278"/>
      <c r="Z145" s="1773">
        <v>145</v>
      </c>
    </row>
    <row r="146" spans="1:26" s="289" customFormat="1" ht="12" customHeight="1">
      <c r="A146" s="1711"/>
      <c r="B146" s="1711"/>
      <c r="C146" s="320" t="s">
        <v>1636</v>
      </c>
      <c r="D146" s="2618"/>
      <c r="I146" s="2680"/>
      <c r="K146" s="289" t="s">
        <v>6483</v>
      </c>
      <c r="O146" s="3279"/>
      <c r="P146" s="3280"/>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6396</v>
      </c>
      <c r="G148" s="3283"/>
      <c r="H148" s="3284"/>
      <c r="I148" s="2702"/>
      <c r="K148" s="267" t="s">
        <v>2144</v>
      </c>
      <c r="O148" s="3172" t="s">
        <v>464</v>
      </c>
      <c r="P148" s="3151"/>
      <c r="Z148" s="1773">
        <v>148</v>
      </c>
    </row>
    <row r="149" spans="1:26" s="289" customFormat="1" ht="12" customHeight="1">
      <c r="A149" s="1711"/>
      <c r="B149" s="1711"/>
      <c r="C149" s="2621" t="s">
        <v>2071</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6481</v>
      </c>
      <c r="I151" s="2691" t="s">
        <v>2772</v>
      </c>
      <c r="K151" s="289" t="s">
        <v>6480</v>
      </c>
      <c r="M151" s="2629"/>
      <c r="N151" s="2627"/>
      <c r="O151" s="3275"/>
      <c r="P151" s="3276"/>
      <c r="Z151" s="1773">
        <v>151</v>
      </c>
    </row>
    <row r="152" spans="1:26" s="289" customFormat="1" ht="12" customHeight="1">
      <c r="A152" s="1711"/>
      <c r="B152" s="1711"/>
      <c r="C152" s="2621" t="s">
        <v>6397</v>
      </c>
      <c r="D152" s="2621"/>
      <c r="E152" s="2621"/>
      <c r="F152" s="2629"/>
      <c r="I152" s="2701"/>
      <c r="K152" s="289" t="s">
        <v>6482</v>
      </c>
      <c r="N152" s="2627"/>
      <c r="O152" s="3277"/>
      <c r="P152" s="3278"/>
      <c r="Z152" s="1773">
        <v>152</v>
      </c>
    </row>
    <row r="153" spans="1:26" s="289" customFormat="1" ht="12" customHeight="1">
      <c r="A153" s="1711"/>
      <c r="B153" s="1711"/>
      <c r="C153" s="320" t="s">
        <v>1636</v>
      </c>
      <c r="D153" s="2618"/>
      <c r="I153" s="2680"/>
      <c r="K153" s="289" t="s">
        <v>6483</v>
      </c>
      <c r="O153" s="3279"/>
      <c r="P153" s="3280"/>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6396</v>
      </c>
      <c r="G155" s="3283"/>
      <c r="H155" s="3284"/>
      <c r="I155" s="2702"/>
      <c r="K155" s="267" t="s">
        <v>2144</v>
      </c>
      <c r="O155" s="3172" t="s">
        <v>464</v>
      </c>
      <c r="P155" s="3151"/>
      <c r="Z155" s="1773">
        <v>155</v>
      </c>
    </row>
    <row r="156" spans="1:26" s="289" customFormat="1" ht="12" customHeight="1">
      <c r="A156" s="1711"/>
      <c r="B156" s="1711"/>
      <c r="C156" s="2621" t="s">
        <v>2071</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4084</v>
      </c>
      <c r="F158" s="312"/>
      <c r="G158" s="312"/>
      <c r="I158" s="2703" t="s">
        <v>2772</v>
      </c>
      <c r="K158" s="312" t="s">
        <v>4086</v>
      </c>
      <c r="L158" s="312"/>
      <c r="M158" s="312"/>
      <c r="O158" s="2704" t="s">
        <v>2772</v>
      </c>
      <c r="P158" s="298"/>
      <c r="Z158" s="1773">
        <v>158</v>
      </c>
    </row>
    <row r="159" spans="1:26" s="289" customFormat="1" ht="12" customHeight="1">
      <c r="A159" s="1711"/>
      <c r="C159" s="1298"/>
      <c r="D159" s="2621"/>
      <c r="E159" s="312" t="s">
        <v>4085</v>
      </c>
      <c r="F159" s="312"/>
      <c r="G159" s="312"/>
      <c r="I159" s="2705" t="s">
        <v>2772</v>
      </c>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4083</v>
      </c>
      <c r="D161" s="2621"/>
      <c r="E161" s="2621"/>
      <c r="F161" s="2629"/>
      <c r="I161" s="2695" t="s">
        <v>2772</v>
      </c>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2772</v>
      </c>
      <c r="N166" s="2627"/>
      <c r="O166" s="2627"/>
      <c r="P166" s="3325"/>
      <c r="Z166" s="1773">
        <v>166</v>
      </c>
    </row>
    <row r="167" spans="1:26" s="289" customFormat="1" ht="12.6" customHeight="1">
      <c r="A167" s="1711"/>
      <c r="B167" s="1711"/>
      <c r="C167" s="469" t="s">
        <v>6302</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c r="J169" s="2618"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3928</v>
      </c>
      <c r="N171" s="3152"/>
      <c r="O171" s="3359"/>
      <c r="P171" s="3153"/>
      <c r="Z171" s="1773">
        <v>171</v>
      </c>
    </row>
    <row r="172" spans="1:26" s="289" customFormat="1" ht="12.6" customHeight="1">
      <c r="A172" s="1711"/>
      <c r="B172" s="1711"/>
      <c r="C172" s="2618" t="s">
        <v>3929</v>
      </c>
      <c r="D172" s="3169"/>
      <c r="E172" s="3170"/>
      <c r="F172" s="3148"/>
      <c r="G172" s="3170"/>
      <c r="H172" s="3171"/>
      <c r="I172" s="2626" t="s">
        <v>1716</v>
      </c>
      <c r="J172" s="3160"/>
      <c r="K172" s="3161"/>
      <c r="L172" s="3162"/>
      <c r="M172" s="1247" t="s">
        <v>1890</v>
      </c>
      <c r="N172" s="3169"/>
      <c r="O172" s="3170"/>
      <c r="P172" s="3171"/>
      <c r="Z172" s="1773">
        <v>172</v>
      </c>
    </row>
    <row r="173" spans="1:26" s="289" customFormat="1" ht="12.6" customHeight="1">
      <c r="A173" s="1711"/>
      <c r="B173" s="1711"/>
      <c r="C173" s="2618" t="s">
        <v>588</v>
      </c>
      <c r="D173" s="3169"/>
      <c r="E173" s="3171"/>
      <c r="F173" s="1245" t="s">
        <v>2128</v>
      </c>
      <c r="G173" s="3363"/>
      <c r="H173" s="3364"/>
      <c r="I173" s="321" t="s">
        <v>1719</v>
      </c>
      <c r="J173" s="3360"/>
      <c r="K173" s="3361"/>
      <c r="L173" s="3362"/>
      <c r="M173" s="1246" t="s">
        <v>1889</v>
      </c>
      <c r="N173" s="3360"/>
      <c r="O173" s="3361"/>
      <c r="P173" s="3362"/>
      <c r="Z173" s="1773">
        <v>173</v>
      </c>
    </row>
    <row r="174" spans="1:26" s="289" customFormat="1" ht="12.6" customHeight="1">
      <c r="A174" s="1711"/>
      <c r="B174" s="1711"/>
      <c r="C174" s="289" t="s">
        <v>2553</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3964</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6523</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55" t="s">
        <v>731</v>
      </c>
      <c r="K179" s="3356"/>
      <c r="L179" s="2692"/>
      <c r="M179" s="3352" t="s">
        <v>2222</v>
      </c>
      <c r="N179" s="3353"/>
      <c r="O179" s="3354"/>
      <c r="P179" s="2707"/>
      <c r="Z179" s="1773">
        <v>179</v>
      </c>
    </row>
    <row r="180" spans="1:26" s="289" customFormat="1" ht="12.6" customHeight="1">
      <c r="A180" s="1711"/>
      <c r="B180" s="1711"/>
      <c r="C180" s="1662" t="s">
        <v>2552</v>
      </c>
      <c r="D180" s="1662"/>
      <c r="E180" s="1662"/>
      <c r="F180" s="1662"/>
      <c r="G180" s="1662"/>
      <c r="I180" s="2693" t="s">
        <v>2769</v>
      </c>
      <c r="J180" s="3355" t="s">
        <v>731</v>
      </c>
      <c r="K180" s="3356"/>
      <c r="L180" s="2693"/>
      <c r="M180" s="3352" t="s">
        <v>2222</v>
      </c>
      <c r="N180" s="3353"/>
      <c r="O180" s="3354"/>
      <c r="P180" s="2708"/>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c r="M185" s="267" t="s">
        <v>6488</v>
      </c>
      <c r="N185" s="1613"/>
      <c r="O185" s="3344"/>
      <c r="P185" s="3345"/>
      <c r="Z185" s="1773">
        <v>185</v>
      </c>
    </row>
    <row r="186" spans="1:26" s="27" customFormat="1" ht="12" customHeight="1">
      <c r="B186" s="325"/>
      <c r="C186" s="2710" t="s">
        <v>1898</v>
      </c>
      <c r="D186" s="267" t="s">
        <v>6617</v>
      </c>
      <c r="E186" s="307"/>
      <c r="F186" s="1613"/>
      <c r="G186" s="1613"/>
      <c r="H186" s="1613"/>
      <c r="I186" s="481"/>
      <c r="J186" s="481"/>
      <c r="K186" s="481"/>
      <c r="L186" s="2712"/>
      <c r="M186" s="267" t="s">
        <v>6488</v>
      </c>
      <c r="N186" s="1613"/>
      <c r="O186" s="3346"/>
      <c r="P186" s="3347"/>
      <c r="Z186" s="1773">
        <v>186</v>
      </c>
    </row>
    <row r="187" spans="1:26" s="27" customFormat="1" ht="12" customHeight="1">
      <c r="B187" s="325"/>
      <c r="C187" s="2710" t="s">
        <v>2416</v>
      </c>
      <c r="D187" s="267" t="s">
        <v>6489</v>
      </c>
      <c r="E187" s="307"/>
      <c r="F187" s="1613"/>
      <c r="G187" s="1613"/>
      <c r="H187" s="1613"/>
      <c r="I187" s="481"/>
      <c r="J187" s="481"/>
      <c r="K187" s="481"/>
      <c r="L187" s="2713"/>
      <c r="M187" s="267" t="s">
        <v>6488</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317" t="s">
        <v>6805</v>
      </c>
      <c r="I191" s="3318"/>
      <c r="J191" s="3305" t="s">
        <v>6789</v>
      </c>
      <c r="K191" s="3306"/>
      <c r="L191" s="3298" t="s">
        <v>6788</v>
      </c>
      <c r="M191" s="3298"/>
      <c r="N191" s="3298"/>
      <c r="O191" s="3298"/>
      <c r="P191" s="3298"/>
      <c r="Z191" s="1773">
        <v>191</v>
      </c>
    </row>
    <row r="192" spans="1:26" s="27" customFormat="1">
      <c r="A192" s="2717"/>
      <c r="B192" s="166"/>
      <c r="C192" s="2721" t="s">
        <v>6801</v>
      </c>
      <c r="D192" s="2722"/>
      <c r="E192" s="2722"/>
      <c r="F192" s="2723" t="s">
        <v>6782</v>
      </c>
      <c r="G192" s="2723" t="s">
        <v>6783</v>
      </c>
      <c r="H192" s="2724" t="str">
        <f>IF($H$189="","",$H$189)</f>
        <v/>
      </c>
      <c r="I192" s="2725" t="s">
        <v>6784</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6785</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6786</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6490</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6787</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6802</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6545</v>
      </c>
      <c r="M205" s="2627"/>
      <c r="N205" s="2627"/>
      <c r="P205" s="2702" t="s">
        <v>2772</v>
      </c>
      <c r="Z205" s="1773">
        <v>205</v>
      </c>
    </row>
    <row r="206" spans="1:26" s="289" customFormat="1" ht="12.6" customHeight="1">
      <c r="A206" s="1711"/>
      <c r="C206" s="2627" t="s">
        <v>2567</v>
      </c>
      <c r="I206" s="2702" t="s">
        <v>2772</v>
      </c>
      <c r="L206" s="2627" t="s">
        <v>2541</v>
      </c>
      <c r="N206" s="3326"/>
      <c r="O206" s="3327"/>
      <c r="P206" s="2702"/>
      <c r="Z206" s="1773">
        <v>206</v>
      </c>
    </row>
    <row r="207" spans="1:26" s="289" customFormat="1" ht="12.6" customHeight="1">
      <c r="A207" s="1711"/>
      <c r="B207" s="1711"/>
      <c r="C207" s="2627" t="s">
        <v>1237</v>
      </c>
      <c r="D207" s="324"/>
      <c r="I207" s="2702" t="s">
        <v>2772</v>
      </c>
      <c r="K207" s="299"/>
      <c r="L207" s="2627" t="s">
        <v>3207</v>
      </c>
      <c r="M207" s="2627"/>
      <c r="N207" s="2627"/>
      <c r="P207" s="2702" t="s">
        <v>2772</v>
      </c>
      <c r="Z207" s="1773">
        <v>207</v>
      </c>
    </row>
    <row r="208" spans="1:26" s="289" customFormat="1" ht="12.6" customHeight="1">
      <c r="A208" s="1711"/>
      <c r="B208" s="291"/>
      <c r="C208" s="2627" t="s">
        <v>4125</v>
      </c>
      <c r="I208" s="2702" t="s">
        <v>2772</v>
      </c>
      <c r="J208" s="323" t="s">
        <v>2585</v>
      </c>
      <c r="O208" s="3328"/>
      <c r="P208" s="3329"/>
      <c r="Z208" s="1773">
        <v>208</v>
      </c>
    </row>
    <row r="209" spans="1:26" s="289" customFormat="1" ht="12.6" customHeight="1">
      <c r="A209" s="1711"/>
      <c r="B209" s="291"/>
      <c r="C209" s="2627" t="s">
        <v>1723</v>
      </c>
      <c r="I209" s="2702" t="s">
        <v>2772</v>
      </c>
      <c r="J209" s="323" t="s">
        <v>2585</v>
      </c>
      <c r="O209" s="3342"/>
      <c r="P209" s="3343"/>
      <c r="Z209" s="1773">
        <v>209</v>
      </c>
    </row>
    <row r="210" spans="1:26" s="289" customFormat="1" ht="12.6" customHeight="1">
      <c r="A210" s="1711"/>
      <c r="B210" s="1711"/>
      <c r="C210" s="2627" t="s">
        <v>2690</v>
      </c>
      <c r="I210" s="2702" t="s">
        <v>2772</v>
      </c>
      <c r="J210" s="323" t="s">
        <v>2585</v>
      </c>
      <c r="O210" s="3330"/>
      <c r="P210" s="3331"/>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2192</v>
      </c>
      <c r="I215" s="3340">
        <v>45170</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2" t="s">
        <v>6992</v>
      </c>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EdACiIfN1WOHjh804Fr72D6D9V0Vk1JiCq0dqxrrqfn7J1ezAQIVFKjqKH/0c6RFkG4VzhVyPy5xnzMBXQEkfw==" saltValue="4h4PNXli3wUkO7Jy2RelC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2021-050  Sparrow Pointe</v>
      </c>
      <c r="B1" s="4476"/>
      <c r="C1" s="4476"/>
      <c r="D1" s="4476"/>
      <c r="E1" s="4476"/>
      <c r="F1" s="4476"/>
      <c r="G1" s="4476"/>
      <c r="H1" s="4476"/>
    </row>
    <row r="3" spans="1:13" ht="12" customHeight="1">
      <c r="A3" s="4477" t="s">
        <v>3226</v>
      </c>
      <c r="B3" s="4477"/>
      <c r="C3" s="4477"/>
      <c r="D3" s="4477"/>
      <c r="E3" s="4477"/>
      <c r="F3" s="4477"/>
      <c r="G3" s="4477"/>
      <c r="H3" s="4477"/>
      <c r="I3" s="1097"/>
      <c r="J3" s="4479" t="s">
        <v>3611</v>
      </c>
      <c r="K3" s="4479"/>
      <c r="L3" s="735"/>
      <c r="M3" s="735"/>
    </row>
    <row r="4" spans="1:13">
      <c r="J4" s="4479"/>
      <c r="K4" s="4479"/>
    </row>
    <row r="5" spans="1:13" ht="12" customHeight="1">
      <c r="A5" s="699">
        <v>1</v>
      </c>
      <c r="C5" s="699" t="s">
        <v>2859</v>
      </c>
      <c r="E5" s="717" t="str">
        <f>'Sensitivity Analysis'!H9</f>
        <v>Sparrow Pointe Housing, LP</v>
      </c>
      <c r="J5" s="4479"/>
      <c r="K5" s="4479"/>
    </row>
    <row r="6" spans="1:13" ht="3" customHeight="1">
      <c r="H6" s="701"/>
      <c r="J6" s="4479"/>
      <c r="K6" s="4479"/>
    </row>
    <row r="7" spans="1:13" ht="12" customHeight="1">
      <c r="A7" s="699">
        <v>2</v>
      </c>
      <c r="C7" s="699" t="s">
        <v>2860</v>
      </c>
      <c r="E7" s="717" t="str">
        <f>'Part II-Development Team'!H7</f>
        <v>1631 East Vine Street, Suite 300</v>
      </c>
      <c r="J7" s="4479"/>
      <c r="K7" s="4479"/>
    </row>
    <row r="8" spans="1:13" ht="12" customHeight="1">
      <c r="E8" s="717" t="str">
        <f>+'Part II-Development Team'!H8&amp;","&amp;" "&amp;'Part II-Development Team'!H9&amp;" "&amp;LEFT('Part II-Development Team'!J9,5)</f>
        <v>Kissimmee, FL 34744</v>
      </c>
      <c r="J8" s="4479"/>
      <c r="K8" s="4479"/>
    </row>
    <row r="9" spans="1:13" ht="12" customHeight="1">
      <c r="C9" s="699" t="s">
        <v>2861</v>
      </c>
      <c r="E9" s="4478">
        <f>'Part II-Development Team'!L8</f>
        <v>0</v>
      </c>
      <c r="F9" s="4478"/>
      <c r="J9" s="4479"/>
      <c r="K9" s="4479"/>
    </row>
    <row r="10" spans="1:13" ht="12" customHeight="1">
      <c r="C10" s="699" t="s">
        <v>2862</v>
      </c>
      <c r="E10" s="717" t="str">
        <f>'Part II-Development Team'!Q6</f>
        <v>Deion Lowery</v>
      </c>
    </row>
    <row r="11" spans="1:13" ht="12" customHeight="1">
      <c r="C11" s="699" t="s">
        <v>3616</v>
      </c>
      <c r="E11" s="717" t="str">
        <f>'Part II-Development Team'!L10</f>
        <v>steve.auger@birdsonghousing.com</v>
      </c>
    </row>
    <row r="12" spans="1:13" ht="12" customHeight="1">
      <c r="C12" s="699" t="s">
        <v>3612</v>
      </c>
      <c r="E12" s="1098">
        <f>'Part II-Development Team'!H10</f>
        <v>9046196215</v>
      </c>
    </row>
    <row r="13" spans="1:13" ht="12" customHeight="1">
      <c r="C13" s="699" t="s">
        <v>3615</v>
      </c>
      <c r="E13" s="1098">
        <f>'Part II-Development Team'!Q8</f>
        <v>9046196215</v>
      </c>
    </row>
    <row r="14" spans="1:13" ht="3" customHeight="1"/>
    <row r="15" spans="1:13" ht="12" customHeight="1">
      <c r="A15" s="699">
        <v>3</v>
      </c>
      <c r="C15" s="699" t="s">
        <v>2863</v>
      </c>
      <c r="E15" s="717" t="str">
        <f>'Sensitivity Analysis'!C8</f>
        <v>Sparrow Pointe</v>
      </c>
    </row>
    <row r="16" spans="1:13" ht="12" customHeight="1">
      <c r="C16" s="699" t="s">
        <v>2864</v>
      </c>
      <c r="E16" s="717" t="str">
        <f>'Part I-Project Information'!$F$36</f>
        <v>1301 Martha Berry Blvd</v>
      </c>
    </row>
    <row r="17" spans="1:8" ht="12" customHeight="1">
      <c r="E17" s="717" t="str">
        <f>+'Part I-Project Information'!$F$39&amp;","&amp;" GA "&amp;LEFT('Part I-Project Information'!$J$39,5)</f>
        <v>Rome, GA 30165</v>
      </c>
    </row>
    <row r="18" spans="1:8" ht="3" customHeight="1"/>
    <row r="19" spans="1:8" ht="12" customHeight="1">
      <c r="A19" s="699">
        <v>4</v>
      </c>
      <c r="C19" s="699" t="s">
        <v>2865</v>
      </c>
      <c r="E19" s="717" t="str">
        <f>'Part II-Development Team'!H93</f>
        <v>Fairway Management Co,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t="str">
        <f>'Part II-Development Team'!L97</f>
        <v>estout@fairwaymanagement.com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8595508</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Sparrow Pointe Housing GP, LLC</v>
      </c>
    </row>
    <row r="48" spans="1:7" ht="3" customHeight="1">
      <c r="E48" s="717"/>
    </row>
    <row r="49" spans="1:7" ht="12" customHeight="1">
      <c r="A49" s="699">
        <v>15</v>
      </c>
      <c r="C49" s="699" t="s">
        <v>3618</v>
      </c>
      <c r="E49" s="717" t="str">
        <f>'Part II-Development Team'!Q99</f>
        <v>Tom Harrison</v>
      </c>
      <c r="G49" s="717" t="str">
        <f>'Part II-Development Team'!H99</f>
        <v>Van Matre, Harrison, Hollis, Taylor, and Elliot, P.C.</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50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4</v>
      </c>
      <c r="G58" s="699" t="s">
        <v>3227</v>
      </c>
    </row>
    <row r="59" spans="1:7" ht="3" customHeight="1">
      <c r="F59" s="708"/>
    </row>
    <row r="60" spans="1:7" ht="12" customHeight="1">
      <c r="A60" s="699">
        <v>20</v>
      </c>
      <c r="C60" s="699" t="s">
        <v>2888</v>
      </c>
      <c r="F60" s="1106" t="str">
        <f>'Subsidy Layering Memo'!$L$70</f>
        <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6411</v>
      </c>
    </row>
    <row r="64" spans="1:7" ht="12" customHeight="1">
      <c r="E64" s="1107" t="s">
        <v>3228</v>
      </c>
      <c r="F64" s="1108" t="s">
        <v>3229</v>
      </c>
      <c r="G64" s="1107" t="s">
        <v>6412</v>
      </c>
    </row>
    <row r="65" spans="1:7" ht="12" customHeight="1">
      <c r="E65" s="1107" t="s">
        <v>3228</v>
      </c>
      <c r="F65" s="1108" t="s">
        <v>3229</v>
      </c>
      <c r="G65" s="1107" t="s">
        <v>6413</v>
      </c>
    </row>
    <row r="66" spans="1:7" ht="3" customHeight="1"/>
    <row r="67" spans="1:7" ht="12" customHeight="1">
      <c r="A67" s="699">
        <v>22</v>
      </c>
      <c r="C67" s="699" t="s">
        <v>2890</v>
      </c>
      <c r="E67" s="717" t="str">
        <f>'Sensitivity Analysis'!H9</f>
        <v>Sparrow Pointe Housing,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124744</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62372</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3" t="s">
        <v>3080</v>
      </c>
      <c r="B1" s="4483"/>
      <c r="C1" s="4483"/>
      <c r="D1" s="4483"/>
      <c r="E1" s="4483"/>
      <c r="F1" s="4483"/>
      <c r="G1" s="4483"/>
      <c r="H1" s="4483"/>
      <c r="I1" s="4483"/>
      <c r="J1" s="4483"/>
    </row>
    <row r="2" spans="1:13" ht="15">
      <c r="A2" s="4483" t="str">
        <f>'Sensitivity Analysis'!E8&amp;"  "&amp;'Sensitivity Analysis'!C8</f>
        <v>2021-050  Sparrow Pointe</v>
      </c>
      <c r="B2" s="4483"/>
      <c r="C2" s="4483"/>
      <c r="D2" s="4483"/>
      <c r="E2" s="4483"/>
      <c r="F2" s="4483"/>
      <c r="G2" s="4483"/>
      <c r="H2" s="4483"/>
      <c r="I2" s="4483"/>
      <c r="J2" s="4483"/>
    </row>
    <row r="3" spans="1:13" ht="6" customHeight="1">
      <c r="K3" s="4479" t="s">
        <v>3611</v>
      </c>
      <c r="L3" s="4479"/>
      <c r="M3" s="4479"/>
    </row>
    <row r="4" spans="1:13" ht="12" customHeight="1">
      <c r="A4" s="704" t="s">
        <v>2898</v>
      </c>
      <c r="K4" s="4479"/>
      <c r="L4" s="4479"/>
      <c r="M4" s="4479"/>
    </row>
    <row r="5" spans="1:13" ht="12" customHeight="1">
      <c r="A5" s="699" t="s">
        <v>2899</v>
      </c>
      <c r="C5" s="705" t="str">
        <f>'Subsidy Layering Memo'!D6</f>
        <v>(Underwriter)</v>
      </c>
      <c r="I5" s="705"/>
      <c r="K5" s="4479"/>
      <c r="L5" s="4479"/>
      <c r="M5" s="4479"/>
    </row>
    <row r="6" spans="1:13" ht="6" customHeight="1">
      <c r="C6" s="636"/>
      <c r="D6" s="705"/>
      <c r="I6" s="705"/>
      <c r="K6" s="4479"/>
      <c r="L6" s="4479"/>
      <c r="M6" s="4479"/>
    </row>
    <row r="7" spans="1:13" ht="12" customHeight="1">
      <c r="A7" s="704" t="s">
        <v>2900</v>
      </c>
      <c r="C7" s="636"/>
      <c r="D7" s="705"/>
      <c r="I7" s="705"/>
      <c r="K7" s="4479"/>
      <c r="L7" s="4479"/>
      <c r="M7" s="4479"/>
    </row>
    <row r="8" spans="1:13" ht="12" customHeight="1">
      <c r="A8" s="699" t="s">
        <v>2901</v>
      </c>
      <c r="C8" s="705" t="str">
        <f>'Sensitivity Analysis'!$H$9</f>
        <v>Sparrow Pointe Housing, LP</v>
      </c>
      <c r="I8" s="705"/>
      <c r="K8" s="4479"/>
      <c r="L8" s="4479"/>
      <c r="M8" s="4479"/>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2"/>
      <c r="E13" s="4482"/>
      <c r="F13" s="4482"/>
      <c r="G13" s="4482"/>
      <c r="H13" s="4482"/>
      <c r="I13" s="4482"/>
      <c r="J13" s="4482"/>
    </row>
    <row r="14" spans="1:13" ht="3" customHeight="1">
      <c r="G14" s="636"/>
      <c r="H14" s="705"/>
      <c r="I14" s="705"/>
    </row>
    <row r="15" spans="1:13" ht="12" customHeight="1">
      <c r="A15" s="699" t="s">
        <v>2904</v>
      </c>
      <c r="C15" s="707" t="str">
        <f>'Preview term'!E10</f>
        <v>Deion Lowery</v>
      </c>
      <c r="G15" s="636"/>
      <c r="I15" s="705"/>
    </row>
    <row r="16" spans="1:13" ht="12" customHeight="1">
      <c r="A16" s="717" t="s">
        <v>3815</v>
      </c>
      <c r="C16" s="707" t="str">
        <f>'Part II-Development Team'!Q7</f>
        <v>Pricipal</v>
      </c>
      <c r="G16" s="636"/>
      <c r="I16" s="705"/>
    </row>
    <row r="17" spans="1:9" ht="3" customHeight="1">
      <c r="G17" s="636"/>
      <c r="H17" s="705"/>
      <c r="I17" s="705"/>
    </row>
    <row r="18" spans="1:9" ht="12" customHeight="1">
      <c r="A18" s="699" t="s">
        <v>2905</v>
      </c>
      <c r="C18" s="707" t="str">
        <f>'Preview term'!$E$7</f>
        <v>1631 East Vine Street, Suite 300</v>
      </c>
      <c r="G18" s="636"/>
      <c r="I18" s="705"/>
    </row>
    <row r="19" spans="1:9" ht="12" customHeight="1">
      <c r="C19" s="707" t="str">
        <f>'Preview term'!$E$8</f>
        <v>Kissimmee, FL 34744</v>
      </c>
      <c r="G19" s="636"/>
      <c r="I19" s="705"/>
    </row>
    <row r="20" spans="1:9" ht="3" customHeight="1">
      <c r="G20" s="636"/>
      <c r="H20" s="705"/>
      <c r="I20" s="705"/>
    </row>
    <row r="21" spans="1:9" ht="12" customHeight="1">
      <c r="A21" s="699" t="s">
        <v>2906</v>
      </c>
      <c r="C21" s="707" t="str">
        <f>CONCATENATE('Preview term'!E49," of  ",'Preview term'!G49)</f>
        <v>Tom Harrison of  Van Matre, Harrison, Hollis, Taylor, and Elliot, P.C.</v>
      </c>
      <c r="G21" s="636"/>
      <c r="I21" s="705"/>
    </row>
    <row r="22" spans="1:9" ht="3" customHeight="1">
      <c r="C22" s="707"/>
      <c r="G22" s="636"/>
      <c r="I22" s="705"/>
    </row>
    <row r="23" spans="1:9" ht="12" customHeight="1">
      <c r="A23" s="699" t="s">
        <v>2907</v>
      </c>
      <c r="C23" s="707">
        <f>'Preview term'!E12</f>
        <v>9046196215</v>
      </c>
      <c r="G23" s="636"/>
      <c r="I23" s="705"/>
    </row>
    <row r="24" spans="1:9" ht="3" customHeight="1">
      <c r="C24" s="707"/>
      <c r="G24" s="636"/>
      <c r="I24" s="705"/>
    </row>
    <row r="25" spans="1:9" ht="12" customHeight="1">
      <c r="A25" s="699" t="s">
        <v>2908</v>
      </c>
      <c r="C25" s="1057" t="str">
        <f>'Preview term'!E11</f>
        <v>steve.auger@birdsonghousing.com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Sparrow Pointe</v>
      </c>
      <c r="I28" s="705"/>
    </row>
    <row r="29" spans="1:9" ht="3" customHeight="1">
      <c r="C29" s="707"/>
      <c r="I29" s="705"/>
    </row>
    <row r="30" spans="1:9" ht="12" customHeight="1">
      <c r="A30" s="699" t="s">
        <v>2911</v>
      </c>
      <c r="C30" s="707" t="str">
        <f>'Preview term'!E16</f>
        <v>1301 Martha Berry Blvd</v>
      </c>
      <c r="I30" s="705"/>
    </row>
    <row r="31" spans="1:9">
      <c r="C31" s="705" t="str">
        <f>'Preview term'!E17</f>
        <v>Rome, GA 30165</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84" t="str">
        <f>_xlfn.CONCAT('Part VIII-Threshold Criteria'!K224," and ",'Part VIII-Threshold Criteria'!K225)</f>
        <v>Room and Covered Porch</v>
      </c>
      <c r="D39" s="4484"/>
      <c r="E39" s="4484"/>
      <c r="F39" s="4484"/>
      <c r="G39" s="4484"/>
      <c r="H39" s="4484"/>
      <c r="I39" s="4484"/>
      <c r="J39" s="4484"/>
    </row>
    <row r="40" spans="1:10" ht="25.5" customHeight="1">
      <c r="A40" s="712" t="s">
        <v>6415</v>
      </c>
      <c r="C40" s="448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Fenced community gardens, ,   , ,   , and  </v>
      </c>
      <c r="D40" s="4484"/>
      <c r="E40" s="4484"/>
      <c r="F40" s="4484"/>
      <c r="G40" s="4484"/>
      <c r="H40" s="4484"/>
      <c r="I40" s="4484"/>
      <c r="J40" s="4484"/>
    </row>
    <row r="41" spans="1:10" ht="3" customHeight="1">
      <c r="G41" s="636"/>
      <c r="H41" s="636"/>
      <c r="I41" s="636"/>
    </row>
    <row r="42" spans="1:10" ht="25.5" customHeight="1">
      <c r="A42" s="712" t="s">
        <v>2918</v>
      </c>
      <c r="C42" s="4485" t="s">
        <v>3230</v>
      </c>
      <c r="D42" s="4485"/>
      <c r="E42" s="4485"/>
      <c r="F42" s="4485"/>
      <c r="G42" s="4485"/>
      <c r="H42" s="4485"/>
      <c r="I42" s="4485"/>
      <c r="J42" s="4485"/>
    </row>
    <row r="43" spans="1:10" ht="3" customHeight="1">
      <c r="C43" s="510"/>
      <c r="D43" s="510"/>
      <c r="E43" s="510"/>
      <c r="F43" s="510"/>
      <c r="G43" s="510"/>
      <c r="H43" s="511"/>
      <c r="I43" s="512"/>
      <c r="J43" s="511"/>
    </row>
    <row r="44" spans="1:10" ht="12" customHeight="1">
      <c r="A44" s="699" t="s">
        <v>2919</v>
      </c>
      <c r="C44" s="574" t="str">
        <f>'Part I-Project Information'!J40</f>
        <v>Floyd</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485" t="s">
        <v>546</v>
      </c>
      <c r="D50" s="4485"/>
      <c r="E50" s="4485"/>
      <c r="F50" s="4485"/>
      <c r="G50" s="4485"/>
      <c r="H50" s="4485"/>
      <c r="I50" s="4485"/>
      <c r="J50" s="4485"/>
    </row>
    <row r="51" spans="1:10" ht="12" customHeight="1">
      <c r="C51" s="4488" t="s">
        <v>1724</v>
      </c>
      <c r="D51" s="4488"/>
      <c r="E51" s="4488"/>
      <c r="F51" s="4488"/>
      <c r="G51" s="4488"/>
      <c r="H51" s="4488"/>
      <c r="I51" s="4488"/>
      <c r="J51" s="4488"/>
    </row>
    <row r="52" spans="1:10" ht="3" customHeight="1">
      <c r="D52" s="714"/>
      <c r="E52" s="714"/>
      <c r="F52" s="714"/>
      <c r="G52" s="715"/>
      <c r="H52" s="636"/>
      <c r="I52" s="714"/>
      <c r="J52" s="714"/>
    </row>
    <row r="53" spans="1:10" ht="12" customHeight="1">
      <c r="A53" s="712" t="s">
        <v>2923</v>
      </c>
      <c r="B53" s="712"/>
      <c r="C53" s="716" t="s">
        <v>2924</v>
      </c>
      <c r="D53" s="716" t="s">
        <v>3231</v>
      </c>
      <c r="E53" s="4489"/>
      <c r="F53" s="4489"/>
      <c r="G53" s="4489"/>
      <c r="H53" s="4489"/>
      <c r="I53" s="4489"/>
      <c r="J53" s="4489"/>
    </row>
    <row r="54" spans="1:10" ht="12" customHeight="1">
      <c r="A54" s="712"/>
      <c r="B54" s="712"/>
      <c r="C54" s="712"/>
      <c r="D54" s="716" t="s">
        <v>3232</v>
      </c>
      <c r="E54" s="4490"/>
      <c r="F54" s="4490"/>
      <c r="G54" s="4490"/>
      <c r="H54" s="4490"/>
      <c r="I54" s="4490"/>
      <c r="J54" s="4490"/>
    </row>
    <row r="55" spans="1:10" ht="12" customHeight="1">
      <c r="A55" s="704" t="s">
        <v>2925</v>
      </c>
      <c r="G55" s="636"/>
      <c r="H55" s="636"/>
      <c r="I55" s="636"/>
    </row>
    <row r="56" spans="1:10" ht="18" customHeight="1">
      <c r="A56" s="699" t="s">
        <v>2926</v>
      </c>
      <c r="C56" s="706" t="str">
        <f>'Sensitivity Analysis'!C10</f>
        <v>Sparrow Pointe Housing GP,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8595508</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2"/>
      <c r="E69" s="4482"/>
      <c r="F69" s="4482"/>
      <c r="G69" s="4482"/>
      <c r="H69" s="4482"/>
      <c r="I69" s="4482"/>
      <c r="J69" s="4482"/>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t="str">
        <f>'Subsidy Layering Memo'!L70</f>
        <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91"/>
      <c r="G94" s="4491"/>
      <c r="H94" s="4491"/>
      <c r="I94" s="636"/>
    </row>
    <row r="95" spans="1:9" ht="12" customHeight="1">
      <c r="C95" s="717"/>
      <c r="D95" s="636"/>
      <c r="E95" s="717" t="s">
        <v>1892</v>
      </c>
      <c r="F95" s="4492"/>
      <c r="G95" s="4492"/>
      <c r="H95" s="4492"/>
      <c r="I95" s="636"/>
    </row>
    <row r="96" spans="1:9" ht="12" customHeight="1">
      <c r="C96" s="717"/>
      <c r="D96" s="636"/>
      <c r="E96" s="717" t="s">
        <v>1718</v>
      </c>
      <c r="F96" s="4487"/>
      <c r="G96" s="4487"/>
      <c r="H96" s="4487"/>
      <c r="I96" s="636"/>
    </row>
    <row r="97" spans="1:10" ht="12" customHeight="1">
      <c r="B97" s="708"/>
      <c r="C97" s="720" t="s">
        <v>3092</v>
      </c>
      <c r="D97" s="636" t="s">
        <v>2951</v>
      </c>
      <c r="E97" s="717">
        <f>'Part III-Sources of Funds'!E40</f>
        <v>0</v>
      </c>
      <c r="I97" s="636"/>
    </row>
    <row r="98" spans="1:10" ht="12" customHeight="1">
      <c r="C98" s="717"/>
      <c r="D98" s="636"/>
      <c r="E98" s="717" t="s">
        <v>1716</v>
      </c>
      <c r="F98" s="4491"/>
      <c r="G98" s="4491"/>
      <c r="H98" s="4491"/>
      <c r="I98" s="636"/>
    </row>
    <row r="99" spans="1:10" ht="12" customHeight="1">
      <c r="C99" s="717"/>
      <c r="D99" s="636"/>
      <c r="E99" s="717" t="s">
        <v>1892</v>
      </c>
      <c r="F99" s="4492"/>
      <c r="G99" s="4492"/>
      <c r="H99" s="4492"/>
      <c r="I99" s="636"/>
    </row>
    <row r="100" spans="1:10" ht="12" customHeight="1">
      <c r="C100" s="717"/>
      <c r="D100" s="636"/>
      <c r="E100" s="717" t="s">
        <v>1718</v>
      </c>
      <c r="F100" s="4487"/>
      <c r="G100" s="4487"/>
      <c r="H100" s="4487"/>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3"/>
      <c r="E107" s="4493"/>
      <c r="F107" s="4493"/>
      <c r="G107" s="4493"/>
      <c r="H107" s="4493"/>
      <c r="I107" s="4493"/>
      <c r="J107" s="4494"/>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1" t="s">
        <v>6419</v>
      </c>
      <c r="F120" s="4481"/>
      <c r="G120" s="4481"/>
      <c r="H120" s="4481"/>
      <c r="I120" s="4481"/>
      <c r="J120" s="4481"/>
    </row>
    <row r="121" spans="1:10" ht="12" customHeight="1">
      <c r="C121" s="636" t="s">
        <v>2962</v>
      </c>
      <c r="D121" s="1065"/>
      <c r="E121" s="4481"/>
      <c r="F121" s="4481"/>
      <c r="G121" s="4481"/>
      <c r="H121" s="4481"/>
      <c r="I121" s="4481"/>
      <c r="J121" s="4481"/>
    </row>
    <row r="122" spans="1:10" ht="12" customHeight="1">
      <c r="C122" s="636" t="s">
        <v>2963</v>
      </c>
      <c r="D122" s="1065"/>
      <c r="E122" s="4481"/>
      <c r="F122" s="4481"/>
      <c r="G122" s="4481"/>
      <c r="H122" s="4481"/>
      <c r="I122" s="4481"/>
      <c r="J122" s="4481"/>
    </row>
    <row r="123" spans="1:10" ht="12" customHeight="1">
      <c r="C123" s="636" t="s">
        <v>2963</v>
      </c>
      <c r="D123" s="1065"/>
      <c r="E123" s="4481"/>
      <c r="F123" s="4481"/>
      <c r="G123" s="4481"/>
      <c r="H123" s="4481"/>
      <c r="I123" s="4481"/>
      <c r="J123" s="4481"/>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DDER Development,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599142.5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Co, Inc.</v>
      </c>
      <c r="G139" s="636"/>
      <c r="I139" s="636"/>
      <c r="J139" s="734"/>
    </row>
    <row r="140" spans="1:10" ht="3" customHeight="1">
      <c r="C140" s="706"/>
      <c r="G140" s="636"/>
      <c r="I140" s="636"/>
    </row>
    <row r="141" spans="1:10" ht="12" customHeight="1">
      <c r="A141" s="699" t="s">
        <v>2974</v>
      </c>
      <c r="C141" s="707" t="str">
        <f>C8</f>
        <v>Sparrow Pointe Housing, LP</v>
      </c>
      <c r="G141" s="636"/>
      <c r="I141" s="705"/>
      <c r="J141" s="735"/>
    </row>
    <row r="142" spans="1:10" ht="3" customHeight="1">
      <c r="C142" s="707"/>
      <c r="G142" s="636"/>
      <c r="I142" s="705"/>
      <c r="J142" s="735"/>
    </row>
    <row r="143" spans="1:10" ht="12" customHeight="1">
      <c r="A143" s="699" t="s">
        <v>2975</v>
      </c>
      <c r="C143" s="707" t="str">
        <f>C18</f>
        <v>1631 East Vine Street, Suite 300</v>
      </c>
      <c r="G143" s="636"/>
      <c r="I143" s="705"/>
      <c r="J143" s="735"/>
    </row>
    <row r="144" spans="1:10">
      <c r="C144" s="707" t="str">
        <f>C19</f>
        <v>Kissimmee, FL 34744</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82"/>
      <c r="F166" s="4482"/>
      <c r="G166" s="4482"/>
      <c r="I166" s="636"/>
    </row>
    <row r="167" spans="1:13" ht="3" customHeight="1">
      <c r="E167" s="636"/>
      <c r="G167" s="636"/>
      <c r="I167" s="636"/>
    </row>
    <row r="168" spans="1:13" ht="12" customHeight="1">
      <c r="A168" s="699" t="s">
        <v>2986</v>
      </c>
      <c r="C168" s="699" t="s">
        <v>2987</v>
      </c>
      <c r="E168" s="738">
        <f>'Preview term'!F73</f>
        <v>124744</v>
      </c>
      <c r="G168" s="636"/>
      <c r="I168" s="636"/>
    </row>
    <row r="169" spans="1:13" ht="12" customHeight="1">
      <c r="C169" s="699" t="s">
        <v>3237</v>
      </c>
      <c r="E169" s="4482"/>
      <c r="F169" s="4482"/>
      <c r="G169" s="4482"/>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12500</v>
      </c>
      <c r="F174" s="705" t="s">
        <v>2991</v>
      </c>
      <c r="J174" s="735"/>
      <c r="K174" s="735"/>
      <c r="L174" s="735"/>
      <c r="M174" s="735"/>
    </row>
    <row r="175" spans="1:13">
      <c r="E175" s="738">
        <f>E174/12</f>
        <v>1041.6666666666667</v>
      </c>
      <c r="F175" s="636" t="s">
        <v>2856</v>
      </c>
    </row>
    <row r="176" spans="1:13" ht="12" customHeight="1">
      <c r="C176" s="699" t="s">
        <v>3238</v>
      </c>
      <c r="E176" s="4482"/>
      <c r="F176" s="4482"/>
      <c r="G176" s="4482"/>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2"/>
      <c r="G181" s="4482"/>
      <c r="H181" s="4482"/>
      <c r="I181" s="4482"/>
      <c r="J181" s="4482"/>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62372</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480">
        <f>'Part VIII-Threshold Criteria'!E397</f>
        <v>0</v>
      </c>
      <c r="G199" s="4480"/>
      <c r="H199" s="4480"/>
      <c r="I199" s="4480"/>
      <c r="J199" s="4480"/>
    </row>
    <row r="200" spans="1:10" ht="9" customHeight="1">
      <c r="G200" s="636"/>
      <c r="H200" s="636"/>
      <c r="I200" s="636"/>
    </row>
    <row r="201" spans="1:10" ht="12" customHeight="1">
      <c r="A201" s="740" t="s">
        <v>3081</v>
      </c>
      <c r="G201" s="636"/>
      <c r="H201" s="636"/>
      <c r="I201" s="724"/>
    </row>
    <row r="202" spans="1:10" ht="25.5" hidden="1" customHeight="1">
      <c r="A202" s="4486" t="str">
        <f>'Subsidy Layering Memo'!A105</f>
        <v>Include any reserve requirements; explain any reserves far in excess of 6 month ODR, 3 mo lease up, 1 year RR, 6 mo T&amp;I standards.</v>
      </c>
      <c r="B202" s="4486"/>
      <c r="C202" s="4486"/>
      <c r="D202" s="4486"/>
      <c r="E202" s="4486"/>
      <c r="F202" s="4486"/>
      <c r="G202" s="4486"/>
      <c r="H202" s="4486"/>
      <c r="I202" s="4486"/>
      <c r="J202" s="4486"/>
    </row>
    <row r="203" spans="1:10">
      <c r="A203" s="636"/>
      <c r="G203" s="636"/>
      <c r="H203" s="636"/>
      <c r="I203" s="636"/>
    </row>
    <row r="204" spans="1:10" s="588" customFormat="1" ht="15">
      <c r="A204" s="594" t="s">
        <v>6403</v>
      </c>
    </row>
    <row r="205" spans="1:10" s="588" customFormat="1" ht="14.25" customHeight="1">
      <c r="A205"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7"/>
      <c r="C205" s="4447"/>
      <c r="D205" s="4447"/>
      <c r="E205" s="4447"/>
      <c r="F205" s="4447"/>
      <c r="G205" s="4447"/>
      <c r="H205" s="4447"/>
      <c r="I205" s="4447"/>
      <c r="J205" s="4447"/>
    </row>
    <row r="206" spans="1:10" s="588" customFormat="1" ht="14.25" customHeight="1">
      <c r="A206" s="4447"/>
      <c r="B206" s="4447"/>
      <c r="C206" s="4447"/>
      <c r="D206" s="4447"/>
      <c r="E206" s="4447"/>
      <c r="F206" s="4447"/>
      <c r="G206" s="4447"/>
      <c r="H206" s="4447"/>
      <c r="I206" s="4447"/>
      <c r="J206" s="4447"/>
    </row>
    <row r="207" spans="1:10" s="588" customFormat="1" ht="6.75" customHeight="1">
      <c r="A207" s="4447"/>
      <c r="B207" s="4447"/>
      <c r="C207" s="4447"/>
      <c r="D207" s="4447"/>
      <c r="E207" s="4447"/>
      <c r="F207" s="4447"/>
      <c r="G207" s="4447"/>
      <c r="H207" s="4447"/>
      <c r="I207" s="4447"/>
      <c r="J207" s="4447"/>
    </row>
    <row r="208" spans="1:10" s="588" customFormat="1" ht="21.75" customHeight="1">
      <c r="A208" s="4447"/>
      <c r="B208" s="4447"/>
      <c r="C208" s="4447"/>
      <c r="D208" s="4447"/>
      <c r="E208" s="4447"/>
      <c r="F208" s="4447"/>
      <c r="G208" s="4447"/>
      <c r="H208" s="4447"/>
      <c r="I208" s="4447"/>
      <c r="J208" s="4447"/>
    </row>
    <row r="209" spans="1:10" s="588" customFormat="1" ht="20.25" customHeight="1">
      <c r="A209" s="4447"/>
      <c r="B209" s="4447"/>
      <c r="C209" s="4447"/>
      <c r="D209" s="4447"/>
      <c r="E209" s="4447"/>
      <c r="F209" s="4447"/>
      <c r="G209" s="4447"/>
      <c r="H209" s="4447"/>
      <c r="I209" s="4447"/>
      <c r="J209" s="4447"/>
    </row>
    <row r="210" spans="1:10" s="588" customFormat="1" ht="54.75" customHeight="1">
      <c r="A210" s="4447"/>
      <c r="B210" s="4447"/>
      <c r="C210" s="4447"/>
      <c r="D210" s="4447"/>
      <c r="E210" s="4447"/>
      <c r="F210" s="4447"/>
      <c r="G210" s="4447"/>
      <c r="H210" s="4447"/>
      <c r="I210" s="4447"/>
      <c r="J210" s="4447"/>
    </row>
    <row r="211" spans="1:10" s="588" customFormat="1" ht="0.75" hidden="1" customHeight="1">
      <c r="A211" s="4447"/>
      <c r="B211" s="4447"/>
      <c r="C211" s="4447"/>
      <c r="D211" s="4447"/>
      <c r="E211" s="4447"/>
      <c r="F211" s="4447"/>
      <c r="G211" s="4447"/>
      <c r="H211" s="4447"/>
      <c r="I211" s="4447"/>
      <c r="J211" s="4447"/>
    </row>
    <row r="212" spans="1:10" s="588" customFormat="1" ht="3.75" hidden="1" customHeight="1">
      <c r="A212" s="4447"/>
      <c r="B212" s="4447"/>
      <c r="C212" s="4447"/>
      <c r="D212" s="4447"/>
      <c r="E212" s="4447"/>
      <c r="F212" s="4447"/>
      <c r="G212" s="4447"/>
      <c r="H212" s="4447"/>
      <c r="I212" s="4447"/>
      <c r="J212" s="4447"/>
    </row>
    <row r="213" spans="1:10" s="588" customFormat="1" ht="5.25" customHeight="1">
      <c r="A213" s="1630"/>
      <c r="B213" s="1630"/>
      <c r="C213" s="1630"/>
      <c r="D213" s="1630"/>
      <c r="E213" s="1630"/>
      <c r="F213" s="1630"/>
      <c r="G213" s="1630"/>
      <c r="H213" s="1630"/>
      <c r="I213" s="1630"/>
      <c r="J213" s="1630"/>
    </row>
    <row r="214" spans="1:10" s="588" customFormat="1" ht="19.5" customHeight="1">
      <c r="A214" s="4446" t="s">
        <v>6406</v>
      </c>
      <c r="B214" s="4446"/>
      <c r="C214" s="4446"/>
      <c r="D214" s="1629"/>
      <c r="E214" s="1629"/>
      <c r="F214" s="1629"/>
      <c r="G214" s="1629"/>
      <c r="H214" s="1629"/>
      <c r="I214" s="1629"/>
      <c r="J214" s="1629"/>
    </row>
    <row r="215" spans="1:10" s="588" customFormat="1" ht="22.5" customHeight="1">
      <c r="A215" s="4443" t="str">
        <f>'Subsidy Layering Memo'!A37</f>
        <v>1)</v>
      </c>
      <c r="B215" s="4443"/>
      <c r="C215" s="4443"/>
      <c r="D215" s="4443"/>
      <c r="E215" s="4443"/>
      <c r="F215" s="4443"/>
      <c r="G215" s="4443"/>
      <c r="H215" s="4443"/>
      <c r="I215" s="4443"/>
      <c r="J215" s="4443"/>
    </row>
    <row r="216" spans="1:10" s="588" customFormat="1" ht="22.5" customHeight="1">
      <c r="A216" s="4443" t="str">
        <f>'Subsidy Layering Memo'!A38</f>
        <v>2)</v>
      </c>
      <c r="B216" s="4443"/>
      <c r="C216" s="4443"/>
      <c r="D216" s="4443"/>
      <c r="E216" s="4443"/>
      <c r="F216" s="4443"/>
      <c r="G216" s="4443"/>
      <c r="H216" s="4443"/>
      <c r="I216" s="4443"/>
      <c r="J216" s="4443"/>
    </row>
    <row r="217" spans="1:10" s="588" customFormat="1" ht="22.5" customHeight="1">
      <c r="A217" s="4443" t="str">
        <f>'Subsidy Layering Memo'!A39</f>
        <v>3)</v>
      </c>
      <c r="B217" s="4443"/>
      <c r="C217" s="4443"/>
      <c r="D217" s="4443"/>
      <c r="E217" s="4443"/>
      <c r="F217" s="4443"/>
      <c r="G217" s="4443"/>
      <c r="H217" s="4443"/>
      <c r="I217" s="4443"/>
      <c r="J217" s="4443"/>
    </row>
    <row r="218" spans="1:10" s="588" customFormat="1" ht="22.5" customHeight="1">
      <c r="A218" s="4443" t="str">
        <f>'Subsidy Layering Memo'!A40</f>
        <v>4)</v>
      </c>
      <c r="B218" s="4443"/>
      <c r="C218" s="4443"/>
      <c r="D218" s="4443"/>
      <c r="E218" s="4443"/>
      <c r="F218" s="4443"/>
      <c r="G218" s="4443"/>
      <c r="H218" s="4443"/>
      <c r="I218" s="4443"/>
      <c r="J218" s="4443"/>
    </row>
    <row r="219" spans="1:10" s="588" customFormat="1" ht="22.5" customHeight="1">
      <c r="A219" s="4443" t="str">
        <f>'Subsidy Layering Memo'!A41</f>
        <v>5)</v>
      </c>
      <c r="B219" s="4443"/>
      <c r="C219" s="4443"/>
      <c r="D219" s="4443"/>
      <c r="E219" s="4443"/>
      <c r="F219" s="4443"/>
      <c r="G219" s="4443"/>
      <c r="H219" s="4443"/>
      <c r="I219" s="4443"/>
      <c r="J219" s="4443"/>
    </row>
    <row r="220" spans="1:10" s="588" customFormat="1" ht="22.5" customHeight="1">
      <c r="A220" s="4443" t="str">
        <f>'Subsidy Layering Memo'!A42</f>
        <v>6)</v>
      </c>
      <c r="B220" s="4443"/>
      <c r="C220" s="4443"/>
      <c r="D220" s="4443"/>
      <c r="E220" s="4443"/>
      <c r="F220" s="4443"/>
      <c r="G220" s="4443"/>
      <c r="H220" s="4443"/>
      <c r="I220" s="4443"/>
      <c r="J220" s="4443"/>
    </row>
    <row r="221" spans="1:10" s="588" customFormat="1" ht="22.5" customHeight="1">
      <c r="A221" s="4443" t="str">
        <f>'Subsidy Layering Memo'!A43</f>
        <v>7)</v>
      </c>
      <c r="B221" s="4443"/>
      <c r="C221" s="4443"/>
      <c r="D221" s="4443"/>
      <c r="E221" s="4443"/>
      <c r="F221" s="4443"/>
      <c r="G221" s="4443"/>
      <c r="H221" s="4443"/>
      <c r="I221" s="4443"/>
      <c r="J221" s="4443"/>
    </row>
    <row r="222" spans="1:10" s="588" customFormat="1" ht="22.5" customHeight="1">
      <c r="A222" s="4443" t="str">
        <f>'Subsidy Layering Memo'!A44</f>
        <v>8)</v>
      </c>
      <c r="B222" s="4443"/>
      <c r="C222" s="4443"/>
      <c r="D222" s="4443"/>
      <c r="E222" s="4443"/>
      <c r="F222" s="4443"/>
      <c r="G222" s="4443"/>
      <c r="H222" s="4443"/>
      <c r="I222" s="4443"/>
      <c r="J222" s="444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4166</v>
      </c>
      <c r="B1" s="3023"/>
      <c r="C1" s="3023"/>
      <c r="D1" s="3023"/>
      <c r="E1" s="3023"/>
      <c r="F1" s="3023"/>
      <c r="G1" s="3023"/>
      <c r="H1" s="3023"/>
    </row>
    <row r="2" spans="1:11" ht="19.5" thickBot="1">
      <c r="A2" s="3023" t="s">
        <v>4167</v>
      </c>
      <c r="B2" s="3023"/>
      <c r="C2" s="3023"/>
      <c r="D2" s="3023"/>
      <c r="E2" s="3023"/>
      <c r="F2" s="3023"/>
      <c r="G2" s="3023"/>
      <c r="H2" s="3023"/>
    </row>
    <row r="3" spans="1:11" ht="15" customHeight="1" thickBot="1">
      <c r="A3" s="3025" t="s">
        <v>4168</v>
      </c>
      <c r="B3" s="3026"/>
      <c r="C3" s="3027"/>
      <c r="D3" s="4554" t="str">
        <f>'Part I-Project Information'!F35</f>
        <v>Sparrow Pointe</v>
      </c>
      <c r="E3" s="4555"/>
      <c r="F3" s="4555"/>
      <c r="G3" s="4555"/>
      <c r="H3" s="4555"/>
      <c r="I3" s="4555"/>
      <c r="J3" s="4556" t="s">
        <v>6420</v>
      </c>
      <c r="K3" s="4557"/>
    </row>
    <row r="4" spans="1:11" ht="15" customHeight="1">
      <c r="A4" s="3028" t="s">
        <v>4169</v>
      </c>
      <c r="B4" s="3029"/>
      <c r="C4" s="3030"/>
      <c r="D4" s="4558" t="str">
        <f>CONCATENATE('Part I-Project Information'!F36,", ",'Part I-Project Information'!F39,", GA ",'Part I-Project Information'!J39," (",'Part I-Project Information'!J40," Co.)",)</f>
        <v>1301 Martha Berry Blvd, Rome, GA 301651615 (Floyd Co.)</v>
      </c>
      <c r="E4" s="4559"/>
      <c r="F4" s="4559"/>
      <c r="G4" s="4559"/>
      <c r="H4" s="4559"/>
      <c r="I4" s="4559"/>
      <c r="J4" s="4560" t="s">
        <v>4210</v>
      </c>
      <c r="K4" s="4561"/>
    </row>
    <row r="5" spans="1:11" ht="15" customHeight="1" thickBot="1">
      <c r="A5" s="3031" t="s">
        <v>4170</v>
      </c>
      <c r="B5" s="3032"/>
      <c r="C5" s="3033"/>
      <c r="D5" s="4564"/>
      <c r="E5" s="4565"/>
      <c r="F5" s="4565"/>
      <c r="G5" s="4565"/>
      <c r="H5" s="4565"/>
      <c r="I5" s="4565"/>
      <c r="J5" s="4562"/>
      <c r="K5" s="4563"/>
    </row>
    <row r="6" spans="1:11" ht="9" customHeight="1" thickBot="1">
      <c r="E6" s="3024"/>
    </row>
    <row r="7" spans="1:11">
      <c r="A7" s="4572" t="s">
        <v>4172</v>
      </c>
      <c r="B7" s="4573"/>
      <c r="C7" s="4573"/>
      <c r="D7" s="4573"/>
      <c r="E7" s="4573"/>
      <c r="F7" s="4573"/>
      <c r="G7" s="4573"/>
      <c r="H7" s="4573"/>
      <c r="I7" s="4573"/>
      <c r="J7" s="4573"/>
      <c r="K7" s="4574"/>
    </row>
    <row r="8" spans="1:11" ht="14.25" customHeight="1">
      <c r="A8" s="3034"/>
      <c r="B8" s="3034"/>
      <c r="C8" s="3035">
        <v>1</v>
      </c>
      <c r="D8" s="3036" t="s">
        <v>4173</v>
      </c>
      <c r="E8" s="3036"/>
      <c r="F8" s="3036"/>
      <c r="G8" s="3036"/>
      <c r="H8" s="3036"/>
      <c r="I8" s="3036"/>
      <c r="J8" s="4570"/>
      <c r="K8" s="4571"/>
    </row>
    <row r="9" spans="1:11" ht="7.15" customHeight="1">
      <c r="A9" s="4505"/>
      <c r="B9" s="4505"/>
      <c r="C9" s="4505"/>
      <c r="D9" s="4506"/>
      <c r="E9" s="4506"/>
      <c r="F9" s="4506"/>
      <c r="G9" s="4506"/>
      <c r="H9" s="4506"/>
      <c r="I9" s="4506"/>
      <c r="J9" s="4506"/>
      <c r="K9" s="3037"/>
    </row>
    <row r="10" spans="1:11">
      <c r="A10" s="4575" t="s">
        <v>4174</v>
      </c>
      <c r="B10" s="4576"/>
      <c r="C10" s="4576"/>
      <c r="D10" s="4576"/>
      <c r="E10" s="4576"/>
      <c r="F10" s="4576"/>
      <c r="G10" s="4576"/>
      <c r="H10" s="4576"/>
      <c r="I10" s="4576"/>
      <c r="J10" s="4576"/>
      <c r="K10" s="4577"/>
    </row>
    <row r="11" spans="1:11" ht="14.25" customHeight="1">
      <c r="A11" s="3034"/>
      <c r="B11" s="3034"/>
      <c r="C11" s="3035">
        <v>2</v>
      </c>
      <c r="D11" s="3036" t="s">
        <v>4175</v>
      </c>
      <c r="E11" s="3038"/>
      <c r="F11" s="3038"/>
      <c r="G11" s="3038"/>
      <c r="H11" s="3038"/>
      <c r="I11" s="3038"/>
      <c r="J11" s="4568"/>
      <c r="K11" s="4569"/>
    </row>
    <row r="12" spans="1:11" ht="7.15" customHeight="1">
      <c r="A12" s="4505"/>
      <c r="B12" s="4505"/>
      <c r="C12" s="4505"/>
      <c r="D12" s="4506"/>
      <c r="E12" s="4506"/>
      <c r="F12" s="4506"/>
      <c r="G12" s="4506"/>
      <c r="H12" s="4506"/>
      <c r="I12" s="4506"/>
      <c r="J12" s="4506"/>
      <c r="K12" s="3039"/>
    </row>
    <row r="13" spans="1:11">
      <c r="A13" s="4575" t="s">
        <v>4176</v>
      </c>
      <c r="B13" s="4576"/>
      <c r="C13" s="4576"/>
      <c r="D13" s="4576"/>
      <c r="E13" s="4576"/>
      <c r="F13" s="4576"/>
      <c r="G13" s="4576"/>
      <c r="H13" s="4576"/>
      <c r="I13" s="4576"/>
      <c r="J13" s="4576"/>
      <c r="K13" s="4577"/>
    </row>
    <row r="14" spans="1:11" ht="14.25" customHeight="1">
      <c r="A14" s="3029"/>
      <c r="B14" s="3029"/>
      <c r="C14" s="3040">
        <v>3</v>
      </c>
      <c r="D14" s="3041" t="s">
        <v>4177</v>
      </c>
      <c r="E14" s="3041"/>
      <c r="F14" s="3041"/>
      <c r="G14" s="3041"/>
      <c r="H14" s="3041"/>
      <c r="I14" s="3041"/>
      <c r="J14" s="4566"/>
      <c r="K14" s="4567"/>
    </row>
    <row r="15" spans="1:11" ht="14.25" customHeight="1">
      <c r="A15" s="3029"/>
      <c r="B15" s="3029"/>
      <c r="C15" s="3042">
        <v>4</v>
      </c>
      <c r="D15" s="3029" t="s">
        <v>4178</v>
      </c>
      <c r="E15" s="3029"/>
      <c r="F15" s="3029"/>
      <c r="G15" s="3029"/>
      <c r="H15" s="3029"/>
      <c r="I15" s="3029"/>
      <c r="J15" s="4503"/>
      <c r="K15" s="4504"/>
    </row>
    <row r="16" spans="1:11" ht="14.25" customHeight="1">
      <c r="A16" s="3029"/>
      <c r="B16" s="3029"/>
      <c r="C16" s="3042">
        <v>5</v>
      </c>
      <c r="D16" s="3029" t="s">
        <v>4179</v>
      </c>
      <c r="E16" s="3029"/>
      <c r="F16" s="3029"/>
      <c r="G16" s="3029"/>
      <c r="H16" s="3029"/>
      <c r="I16" s="3029"/>
      <c r="J16" s="4503"/>
      <c r="K16" s="4504"/>
    </row>
    <row r="17" spans="1:13" ht="14.25" customHeight="1">
      <c r="A17" s="3034"/>
      <c r="B17" s="3034"/>
      <c r="C17" s="3043">
        <v>6</v>
      </c>
      <c r="D17" s="3032" t="s">
        <v>4180</v>
      </c>
      <c r="E17" s="3032"/>
      <c r="F17" s="3032"/>
      <c r="G17" s="3032"/>
      <c r="H17" s="3032"/>
      <c r="I17" s="3032"/>
      <c r="J17" s="4501"/>
      <c r="K17" s="4502"/>
    </row>
    <row r="18" spans="1:13" ht="7.15" customHeight="1">
      <c r="A18" s="4505"/>
      <c r="B18" s="4505"/>
      <c r="C18" s="4505"/>
      <c r="D18" s="4506"/>
      <c r="E18" s="4506"/>
      <c r="F18" s="4506"/>
      <c r="G18" s="4506"/>
      <c r="H18" s="4506"/>
      <c r="I18" s="4506"/>
      <c r="J18" s="4506"/>
      <c r="K18" s="3039"/>
    </row>
    <row r="19" spans="1:13" ht="14.25" customHeight="1">
      <c r="A19" s="3029"/>
      <c r="B19" s="3029"/>
      <c r="C19" s="3040">
        <v>7</v>
      </c>
      <c r="D19" s="3041" t="s">
        <v>4181</v>
      </c>
      <c r="E19" s="3041"/>
      <c r="F19" s="3041"/>
      <c r="G19" s="3041"/>
      <c r="H19" s="3041"/>
      <c r="I19" s="3041"/>
      <c r="J19" s="4499" t="str">
        <f>IF(J17="No",J14-J15,IF(J17="Yes",J14-J15-J16,"Error"))</f>
        <v>Error</v>
      </c>
      <c r="K19" s="4500"/>
    </row>
    <row r="20" spans="1:13" ht="14.25" customHeight="1">
      <c r="A20" s="3034"/>
      <c r="B20" s="3034"/>
      <c r="C20" s="3043">
        <v>8</v>
      </c>
      <c r="D20" s="3032" t="s">
        <v>4182</v>
      </c>
      <c r="E20" s="3032"/>
      <c r="F20" s="3032"/>
      <c r="G20" s="3032"/>
      <c r="H20" s="3032"/>
      <c r="I20" s="3032"/>
      <c r="J20" s="4497" t="e">
        <f>ROUNDDOWN(J19/J8,2)</f>
        <v>#VALUE!</v>
      </c>
      <c r="K20" s="4498"/>
    </row>
    <row r="21" spans="1:13" ht="7.15" customHeight="1">
      <c r="A21" s="4505"/>
      <c r="B21" s="4505"/>
      <c r="C21" s="4505"/>
      <c r="D21" s="4506"/>
      <c r="E21" s="4506"/>
      <c r="F21" s="4506"/>
      <c r="G21" s="4506"/>
      <c r="H21" s="4506"/>
      <c r="I21" s="4506"/>
      <c r="J21" s="4506"/>
      <c r="K21" s="3039"/>
    </row>
    <row r="22" spans="1:13" ht="14.25" customHeight="1" thickBot="1">
      <c r="A22" s="3029"/>
      <c r="B22" s="3029"/>
      <c r="C22" s="3035">
        <v>9</v>
      </c>
      <c r="D22" s="3044" t="s">
        <v>4183</v>
      </c>
      <c r="E22" s="3044"/>
      <c r="F22" s="3044"/>
      <c r="G22" s="3044"/>
      <c r="H22" s="3044"/>
      <c r="I22" s="3044"/>
      <c r="J22" s="4495" t="e">
        <f>J11/J19</f>
        <v>#VALUE!</v>
      </c>
      <c r="K22" s="4496"/>
    </row>
    <row r="23" spans="1:13" ht="9" customHeight="1">
      <c r="A23" s="3045"/>
      <c r="C23" s="3046"/>
      <c r="D23" s="3046"/>
      <c r="E23" s="3046"/>
      <c r="F23" s="3046"/>
      <c r="G23" s="3046"/>
      <c r="H23" s="3046"/>
      <c r="I23" s="3046"/>
      <c r="J23" s="3046"/>
      <c r="K23" s="3047"/>
    </row>
    <row r="24" spans="1:13" ht="18.75">
      <c r="A24" s="3048" t="s">
        <v>4184</v>
      </c>
      <c r="C24" s="3046"/>
      <c r="D24" s="3046"/>
      <c r="E24" s="3046"/>
      <c r="F24" s="3046"/>
      <c r="G24" s="3046"/>
      <c r="H24" s="3046"/>
      <c r="I24" s="3046"/>
      <c r="J24" s="3046"/>
      <c r="K24" s="3047"/>
    </row>
    <row r="25" spans="1:13" ht="14.25" customHeight="1">
      <c r="A25" s="3049" t="s">
        <v>4215</v>
      </c>
      <c r="C25" s="3046"/>
      <c r="D25" s="3046"/>
      <c r="E25" s="3046"/>
      <c r="F25" s="3046"/>
      <c r="G25" s="3046"/>
      <c r="H25" s="3046"/>
      <c r="I25" s="3046"/>
      <c r="J25" s="3046"/>
      <c r="K25" s="3047"/>
    </row>
    <row r="26" spans="1:13" ht="14.25" customHeight="1">
      <c r="A26" s="3049" t="s">
        <v>4216</v>
      </c>
      <c r="C26" s="3046"/>
      <c r="D26" s="3046"/>
      <c r="E26" s="3046"/>
      <c r="F26" s="3046"/>
      <c r="G26" s="3046"/>
      <c r="H26" s="3046"/>
      <c r="I26" s="3046"/>
      <c r="J26" s="3046"/>
      <c r="K26" s="3047"/>
    </row>
    <row r="27" spans="1:13" ht="14.25" customHeight="1">
      <c r="A27" s="3049" t="s">
        <v>4217</v>
      </c>
      <c r="C27" s="3046"/>
      <c r="D27" s="3046"/>
      <c r="E27" s="3046"/>
      <c r="F27" s="3046"/>
      <c r="G27" s="3046"/>
      <c r="H27" s="3046"/>
      <c r="I27" s="3046"/>
      <c r="J27" s="3046"/>
      <c r="K27" s="3047"/>
    </row>
    <row r="28" spans="1:13" ht="14.25" customHeight="1">
      <c r="A28" s="3049" t="s">
        <v>4218</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2" t="s">
        <v>4214</v>
      </c>
      <c r="B30" s="4543"/>
      <c r="C30" s="4543"/>
      <c r="D30" s="4543"/>
      <c r="E30" s="4543"/>
      <c r="F30" s="4543"/>
      <c r="G30" s="4543"/>
      <c r="H30" s="4543"/>
      <c r="I30" s="4543"/>
      <c r="J30" s="4543"/>
      <c r="K30" s="4544"/>
    </row>
    <row r="31" spans="1:13">
      <c r="A31" s="3050"/>
      <c r="B31" s="4545" t="s">
        <v>6420</v>
      </c>
      <c r="C31" s="4545"/>
      <c r="D31" s="4545"/>
      <c r="E31" s="4545"/>
      <c r="F31" s="4545"/>
      <c r="G31" s="4546" t="s">
        <v>4185</v>
      </c>
      <c r="H31" s="4547"/>
      <c r="I31" s="4547"/>
      <c r="J31" s="4547"/>
      <c r="K31" s="4548"/>
    </row>
    <row r="32" spans="1:13" ht="56.25" customHeight="1">
      <c r="A32" s="3051"/>
      <c r="B32" s="3052" t="s">
        <v>4213</v>
      </c>
      <c r="C32" s="3053" t="s">
        <v>4209</v>
      </c>
      <c r="D32" s="3053" t="s">
        <v>4208</v>
      </c>
      <c r="E32" s="4549" t="s">
        <v>6312</v>
      </c>
      <c r="F32" s="4550"/>
      <c r="G32" s="3054" t="s">
        <v>4186</v>
      </c>
      <c r="H32" s="3054" t="s">
        <v>4187</v>
      </c>
      <c r="J32" s="3054" t="s">
        <v>4188</v>
      </c>
      <c r="K32" s="3054" t="s">
        <v>4189</v>
      </c>
      <c r="L32" s="4551" t="s">
        <v>4190</v>
      </c>
      <c r="M32" s="4551"/>
    </row>
    <row r="33" spans="2:14" ht="12.75" customHeight="1">
      <c r="B33" s="3055"/>
      <c r="C33" s="3056"/>
      <c r="D33" s="3057"/>
      <c r="E33" s="4552"/>
      <c r="F33" s="4553"/>
      <c r="G33" s="3058" t="e">
        <f t="shared" ref="G33:G51" si="0">$J$22*B33</f>
        <v>#VALUE!</v>
      </c>
      <c r="H33" s="3059" t="e">
        <f>ROUNDUP(G33,0)</f>
        <v>#VALUE!</v>
      </c>
      <c r="I33" s="3060"/>
      <c r="J33" s="3061" t="e">
        <f t="shared" ref="J33:J51" si="1">$J$20*E33</f>
        <v>#VALUE!</v>
      </c>
      <c r="K33" s="3061" t="e">
        <f t="shared" ref="K33:K51" si="2">ROUNDDOWN(J33*H33,0)</f>
        <v>#VALUE!</v>
      </c>
      <c r="L33" s="4551"/>
      <c r="M33" s="4551"/>
    </row>
    <row r="34" spans="2:14" ht="12.75" customHeight="1">
      <c r="B34" s="3062"/>
      <c r="C34" s="3063"/>
      <c r="D34" s="3064"/>
      <c r="E34" s="4533"/>
      <c r="F34" s="4534"/>
      <c r="G34" s="3065" t="e">
        <f t="shared" si="0"/>
        <v>#VALUE!</v>
      </c>
      <c r="H34" s="3066" t="e">
        <f t="shared" ref="H34:H51" si="3">ROUNDUP(G34,0)</f>
        <v>#VALUE!</v>
      </c>
      <c r="I34" s="3060"/>
      <c r="J34" s="3067" t="e">
        <f t="shared" si="1"/>
        <v>#VALUE!</v>
      </c>
      <c r="K34" s="3067" t="e">
        <f t="shared" si="2"/>
        <v>#VALUE!</v>
      </c>
      <c r="L34" s="4551"/>
      <c r="M34" s="4551"/>
    </row>
    <row r="35" spans="2:14" ht="12.75" customHeight="1">
      <c r="B35" s="3062"/>
      <c r="C35" s="3063"/>
      <c r="D35" s="3064"/>
      <c r="E35" s="4533"/>
      <c r="F35" s="4534"/>
      <c r="G35" s="3065" t="e">
        <f t="shared" si="0"/>
        <v>#VALUE!</v>
      </c>
      <c r="H35" s="3066" t="e">
        <f t="shared" si="3"/>
        <v>#VALUE!</v>
      </c>
      <c r="I35" s="3060"/>
      <c r="J35" s="3067" t="e">
        <f t="shared" si="1"/>
        <v>#VALUE!</v>
      </c>
      <c r="K35" s="3067" t="e">
        <f t="shared" si="2"/>
        <v>#VALUE!</v>
      </c>
      <c r="L35" s="4551"/>
      <c r="M35" s="4551"/>
    </row>
    <row r="36" spans="2:14" ht="12.75" customHeight="1">
      <c r="B36" s="3062"/>
      <c r="C36" s="3063"/>
      <c r="D36" s="3064"/>
      <c r="E36" s="4533"/>
      <c r="F36" s="4534"/>
      <c r="G36" s="3065" t="e">
        <f t="shared" si="0"/>
        <v>#VALUE!</v>
      </c>
      <c r="H36" s="3066" t="e">
        <f t="shared" si="3"/>
        <v>#VALUE!</v>
      </c>
      <c r="I36" s="3060"/>
      <c r="J36" s="3067" t="e">
        <f t="shared" si="1"/>
        <v>#VALUE!</v>
      </c>
      <c r="K36" s="3067" t="e">
        <f t="shared" si="2"/>
        <v>#VALUE!</v>
      </c>
      <c r="L36" s="4551"/>
      <c r="M36" s="4551"/>
      <c r="N36" s="3068"/>
    </row>
    <row r="37" spans="2:14" ht="12.75" customHeight="1">
      <c r="B37" s="3062"/>
      <c r="C37" s="3063"/>
      <c r="D37" s="3064"/>
      <c r="E37" s="4533"/>
      <c r="F37" s="4534"/>
      <c r="G37" s="3065" t="e">
        <f t="shared" si="0"/>
        <v>#VALUE!</v>
      </c>
      <c r="H37" s="3066" t="e">
        <f t="shared" si="3"/>
        <v>#VALUE!</v>
      </c>
      <c r="I37" s="3060"/>
      <c r="J37" s="3067" t="e">
        <f t="shared" si="1"/>
        <v>#VALUE!</v>
      </c>
      <c r="K37" s="3067" t="e">
        <f t="shared" si="2"/>
        <v>#VALUE!</v>
      </c>
      <c r="L37" s="4551"/>
      <c r="M37" s="4551"/>
    </row>
    <row r="38" spans="2:14" ht="12.75" customHeight="1">
      <c r="B38" s="3062"/>
      <c r="C38" s="3063"/>
      <c r="D38" s="3064"/>
      <c r="E38" s="4533"/>
      <c r="F38" s="4534"/>
      <c r="G38" s="3065" t="e">
        <f t="shared" si="0"/>
        <v>#VALUE!</v>
      </c>
      <c r="H38" s="3066" t="e">
        <f t="shared" si="3"/>
        <v>#VALUE!</v>
      </c>
      <c r="I38" s="3060"/>
      <c r="J38" s="3067" t="e">
        <f t="shared" si="1"/>
        <v>#VALUE!</v>
      </c>
      <c r="K38" s="3067" t="e">
        <f t="shared" si="2"/>
        <v>#VALUE!</v>
      </c>
      <c r="L38" s="4551"/>
      <c r="M38" s="4551"/>
    </row>
    <row r="39" spans="2:14" ht="12.75" customHeight="1">
      <c r="B39" s="3062"/>
      <c r="C39" s="3063"/>
      <c r="D39" s="3064"/>
      <c r="E39" s="4533"/>
      <c r="F39" s="4534"/>
      <c r="G39" s="3065" t="e">
        <f t="shared" si="0"/>
        <v>#VALUE!</v>
      </c>
      <c r="H39" s="3066" t="e">
        <f t="shared" si="3"/>
        <v>#VALUE!</v>
      </c>
      <c r="I39" s="3060"/>
      <c r="J39" s="3067" t="e">
        <f t="shared" si="1"/>
        <v>#VALUE!</v>
      </c>
      <c r="K39" s="3067" t="e">
        <f t="shared" si="2"/>
        <v>#VALUE!</v>
      </c>
      <c r="L39" s="4551"/>
      <c r="M39" s="4551"/>
    </row>
    <row r="40" spans="2:14" ht="12.75" customHeight="1">
      <c r="B40" s="3062"/>
      <c r="C40" s="3063"/>
      <c r="D40" s="3064"/>
      <c r="E40" s="4533"/>
      <c r="F40" s="4534"/>
      <c r="G40" s="3065" t="e">
        <f t="shared" si="0"/>
        <v>#VALUE!</v>
      </c>
      <c r="H40" s="3066" t="e">
        <f t="shared" si="3"/>
        <v>#VALUE!</v>
      </c>
      <c r="I40" s="3060"/>
      <c r="J40" s="3067" t="e">
        <f t="shared" si="1"/>
        <v>#VALUE!</v>
      </c>
      <c r="K40" s="3067" t="e">
        <f t="shared" si="2"/>
        <v>#VALUE!</v>
      </c>
      <c r="L40" s="4551"/>
      <c r="M40" s="4551"/>
    </row>
    <row r="41" spans="2:14" ht="12.75" customHeight="1">
      <c r="B41" s="3062"/>
      <c r="C41" s="3063"/>
      <c r="D41" s="3064"/>
      <c r="E41" s="4533"/>
      <c r="F41" s="4534"/>
      <c r="G41" s="3065" t="e">
        <f t="shared" si="0"/>
        <v>#VALUE!</v>
      </c>
      <c r="H41" s="3066" t="e">
        <f t="shared" si="3"/>
        <v>#VALUE!</v>
      </c>
      <c r="I41" s="3060"/>
      <c r="J41" s="3067" t="e">
        <f t="shared" si="1"/>
        <v>#VALUE!</v>
      </c>
      <c r="K41" s="3067" t="e">
        <f t="shared" si="2"/>
        <v>#VALUE!</v>
      </c>
      <c r="L41" s="4551"/>
      <c r="M41" s="4551"/>
    </row>
    <row r="42" spans="2:14" ht="12.75" customHeight="1">
      <c r="B42" s="3062"/>
      <c r="C42" s="3063"/>
      <c r="D42" s="3064"/>
      <c r="E42" s="4533"/>
      <c r="F42" s="4534"/>
      <c r="G42" s="3065" t="e">
        <f t="shared" si="0"/>
        <v>#VALUE!</v>
      </c>
      <c r="H42" s="3066" t="e">
        <f t="shared" si="3"/>
        <v>#VALUE!</v>
      </c>
      <c r="I42" s="3060"/>
      <c r="J42" s="3067" t="e">
        <f t="shared" si="1"/>
        <v>#VALUE!</v>
      </c>
      <c r="K42" s="3067" t="e">
        <f t="shared" si="2"/>
        <v>#VALUE!</v>
      </c>
      <c r="L42" s="4551"/>
      <c r="M42" s="4551"/>
    </row>
    <row r="43" spans="2:14" ht="12.75" customHeight="1">
      <c r="B43" s="3062"/>
      <c r="C43" s="3063"/>
      <c r="D43" s="3064"/>
      <c r="E43" s="4533"/>
      <c r="F43" s="4534"/>
      <c r="G43" s="3065" t="e">
        <f t="shared" si="0"/>
        <v>#VALUE!</v>
      </c>
      <c r="H43" s="3066" t="e">
        <f t="shared" si="3"/>
        <v>#VALUE!</v>
      </c>
      <c r="I43" s="3060"/>
      <c r="J43" s="3067" t="e">
        <f t="shared" si="1"/>
        <v>#VALUE!</v>
      </c>
      <c r="K43" s="3067" t="e">
        <f t="shared" si="2"/>
        <v>#VALUE!</v>
      </c>
      <c r="L43" s="4551"/>
      <c r="M43" s="4551"/>
    </row>
    <row r="44" spans="2:14" ht="12.75" customHeight="1">
      <c r="B44" s="3062"/>
      <c r="C44" s="3063"/>
      <c r="D44" s="3064"/>
      <c r="E44" s="4533"/>
      <c r="F44" s="4534"/>
      <c r="G44" s="3065" t="e">
        <f t="shared" si="0"/>
        <v>#VALUE!</v>
      </c>
      <c r="H44" s="3066" t="e">
        <f t="shared" si="3"/>
        <v>#VALUE!</v>
      </c>
      <c r="I44" s="3060"/>
      <c r="J44" s="3067" t="e">
        <f t="shared" si="1"/>
        <v>#VALUE!</v>
      </c>
      <c r="K44" s="3067" t="e">
        <f t="shared" si="2"/>
        <v>#VALUE!</v>
      </c>
      <c r="L44" s="4551"/>
      <c r="M44" s="4551"/>
    </row>
    <row r="45" spans="2:14" ht="12.75" customHeight="1">
      <c r="B45" s="3062"/>
      <c r="C45" s="3063"/>
      <c r="D45" s="3064"/>
      <c r="E45" s="4533"/>
      <c r="F45" s="4534"/>
      <c r="G45" s="3065" t="e">
        <f t="shared" si="0"/>
        <v>#VALUE!</v>
      </c>
      <c r="H45" s="3066" t="e">
        <f t="shared" si="3"/>
        <v>#VALUE!</v>
      </c>
      <c r="I45" s="3060"/>
      <c r="J45" s="3067" t="e">
        <f t="shared" si="1"/>
        <v>#VALUE!</v>
      </c>
      <c r="K45" s="3067" t="e">
        <f t="shared" si="2"/>
        <v>#VALUE!</v>
      </c>
      <c r="L45" s="4551"/>
      <c r="M45" s="4551"/>
    </row>
    <row r="46" spans="2:14" ht="12.75" customHeight="1">
      <c r="B46" s="3062"/>
      <c r="C46" s="3063"/>
      <c r="D46" s="3064"/>
      <c r="E46" s="4533"/>
      <c r="F46" s="4534"/>
      <c r="G46" s="3065" t="e">
        <f t="shared" si="0"/>
        <v>#VALUE!</v>
      </c>
      <c r="H46" s="3066" t="e">
        <f t="shared" si="3"/>
        <v>#VALUE!</v>
      </c>
      <c r="I46" s="3060"/>
      <c r="J46" s="3067" t="e">
        <f t="shared" si="1"/>
        <v>#VALUE!</v>
      </c>
      <c r="K46" s="3067" t="e">
        <f t="shared" si="2"/>
        <v>#VALUE!</v>
      </c>
      <c r="L46" s="4551"/>
      <c r="M46" s="4551"/>
    </row>
    <row r="47" spans="2:14" ht="12.75" customHeight="1">
      <c r="B47" s="3062"/>
      <c r="C47" s="3063"/>
      <c r="D47" s="3064"/>
      <c r="E47" s="4533"/>
      <c r="F47" s="4534"/>
      <c r="G47" s="3065" t="e">
        <f t="shared" si="0"/>
        <v>#VALUE!</v>
      </c>
      <c r="H47" s="3066" t="e">
        <f t="shared" si="3"/>
        <v>#VALUE!</v>
      </c>
      <c r="I47" s="3060"/>
      <c r="J47" s="3067" t="e">
        <f t="shared" si="1"/>
        <v>#VALUE!</v>
      </c>
      <c r="K47" s="3067" t="e">
        <f t="shared" si="2"/>
        <v>#VALUE!</v>
      </c>
      <c r="L47" s="4551"/>
      <c r="M47" s="4551"/>
    </row>
    <row r="48" spans="2:14" ht="12.75" customHeight="1">
      <c r="B48" s="3062"/>
      <c r="C48" s="3063"/>
      <c r="D48" s="3064"/>
      <c r="E48" s="4533"/>
      <c r="F48" s="4534"/>
      <c r="G48" s="3065" t="e">
        <f t="shared" si="0"/>
        <v>#VALUE!</v>
      </c>
      <c r="H48" s="3066" t="e">
        <f t="shared" si="3"/>
        <v>#VALUE!</v>
      </c>
      <c r="I48" s="3060"/>
      <c r="J48" s="3067" t="e">
        <f t="shared" si="1"/>
        <v>#VALUE!</v>
      </c>
      <c r="K48" s="3067" t="e">
        <f t="shared" si="2"/>
        <v>#VALUE!</v>
      </c>
      <c r="L48" s="4551"/>
      <c r="M48" s="4551"/>
    </row>
    <row r="49" spans="1:13" ht="12.75" customHeight="1">
      <c r="B49" s="3062"/>
      <c r="C49" s="3063"/>
      <c r="D49" s="3064"/>
      <c r="E49" s="4533"/>
      <c r="F49" s="4534"/>
      <c r="G49" s="3065" t="e">
        <f t="shared" si="0"/>
        <v>#VALUE!</v>
      </c>
      <c r="H49" s="3066" t="e">
        <f t="shared" si="3"/>
        <v>#VALUE!</v>
      </c>
      <c r="I49" s="3060"/>
      <c r="J49" s="3067" t="e">
        <f t="shared" si="1"/>
        <v>#VALUE!</v>
      </c>
      <c r="K49" s="3067" t="e">
        <f t="shared" si="2"/>
        <v>#VALUE!</v>
      </c>
      <c r="L49" s="4551"/>
      <c r="M49" s="4551"/>
    </row>
    <row r="50" spans="1:13" ht="12.75" customHeight="1">
      <c r="B50" s="3062"/>
      <c r="C50" s="3063"/>
      <c r="D50" s="3064"/>
      <c r="E50" s="4533"/>
      <c r="F50" s="4534"/>
      <c r="G50" s="3065" t="e">
        <f t="shared" si="0"/>
        <v>#VALUE!</v>
      </c>
      <c r="H50" s="3066" t="e">
        <f t="shared" si="3"/>
        <v>#VALUE!</v>
      </c>
      <c r="I50" s="3060"/>
      <c r="J50" s="3067" t="e">
        <f t="shared" si="1"/>
        <v>#VALUE!</v>
      </c>
      <c r="K50" s="3067" t="e">
        <f t="shared" si="2"/>
        <v>#VALUE!</v>
      </c>
      <c r="L50" s="4551"/>
      <c r="M50" s="4551"/>
    </row>
    <row r="51" spans="1:13" ht="12.75" customHeight="1" thickBot="1">
      <c r="B51" s="3069"/>
      <c r="C51" s="3070"/>
      <c r="D51" s="3071"/>
      <c r="E51" s="4535"/>
      <c r="F51" s="4536"/>
      <c r="G51" s="3072" t="e">
        <f t="shared" si="0"/>
        <v>#VALUE!</v>
      </c>
      <c r="H51" s="3073" t="e">
        <f t="shared" si="3"/>
        <v>#VALUE!</v>
      </c>
      <c r="I51" s="3060"/>
      <c r="J51" s="3074" t="e">
        <f t="shared" si="1"/>
        <v>#VALUE!</v>
      </c>
      <c r="K51" s="3074" t="e">
        <f t="shared" si="2"/>
        <v>#VALUE!</v>
      </c>
      <c r="L51" s="4551"/>
      <c r="M51" s="4551"/>
    </row>
    <row r="52" spans="1:13" ht="15" customHeight="1" thickBot="1">
      <c r="A52" s="3050"/>
      <c r="B52" s="3075"/>
      <c r="D52" s="3041"/>
      <c r="E52" s="3041"/>
      <c r="F52" s="3041"/>
      <c r="G52" s="3076" t="s">
        <v>4191</v>
      </c>
      <c r="H52" s="3077" t="e">
        <f>SUM(H33:H51)</f>
        <v>#VALUE!</v>
      </c>
      <c r="I52" s="3041"/>
      <c r="J52" s="3075" t="s">
        <v>4192</v>
      </c>
      <c r="K52" s="3078" t="e">
        <f>SUM(K33:K51)</f>
        <v>#VALUE!</v>
      </c>
      <c r="L52" s="4551"/>
      <c r="M52" s="4551"/>
    </row>
    <row r="53" spans="1:13" ht="15" customHeight="1">
      <c r="A53" s="3050"/>
      <c r="B53" s="3079"/>
      <c r="C53" s="4537" t="s">
        <v>4193</v>
      </c>
      <c r="D53" s="4537"/>
      <c r="E53" s="4537"/>
      <c r="F53" s="4537"/>
      <c r="G53" s="4537"/>
      <c r="H53" s="4537"/>
      <c r="I53" s="4537"/>
      <c r="J53" s="4538"/>
      <c r="K53" s="3080" t="str">
        <f>IF(J17="no",0,IF(J17="yes",J16,"Error"))</f>
        <v>Error</v>
      </c>
      <c r="L53" s="4551"/>
      <c r="M53" s="4551"/>
    </row>
    <row r="54" spans="1:13" ht="15" customHeight="1" thickBot="1">
      <c r="A54" s="3050"/>
      <c r="B54" s="3079"/>
      <c r="C54" s="4539" t="s">
        <v>4194</v>
      </c>
      <c r="D54" s="4539"/>
      <c r="E54" s="4539"/>
      <c r="F54" s="4539"/>
      <c r="G54" s="4539"/>
      <c r="H54" s="4539"/>
      <c r="I54" s="4539"/>
      <c r="J54" s="4540"/>
      <c r="K54" s="3081" t="e">
        <f>K52+K53</f>
        <v>#VALUE!</v>
      </c>
    </row>
    <row r="55" spans="1:13" ht="7.9" customHeight="1">
      <c r="A55" s="4541"/>
      <c r="B55" s="4507"/>
      <c r="C55" s="4507"/>
      <c r="D55" s="4507"/>
      <c r="E55" s="4507"/>
      <c r="F55" s="4507"/>
      <c r="G55" s="4507"/>
      <c r="H55" s="4507"/>
      <c r="I55" s="4507"/>
      <c r="J55" s="4507"/>
      <c r="K55" s="3082"/>
    </row>
    <row r="56" spans="1:13" ht="15" customHeight="1">
      <c r="A56" s="4508" t="s">
        <v>4195</v>
      </c>
      <c r="B56" s="4509"/>
      <c r="C56" s="4509"/>
      <c r="D56" s="4509"/>
      <c r="E56" s="4509"/>
      <c r="F56" s="4509"/>
      <c r="G56" s="4509"/>
      <c r="H56" s="4509"/>
      <c r="I56" s="4509"/>
      <c r="J56" s="4509"/>
      <c r="K56" s="4510"/>
    </row>
    <row r="57" spans="1:13" ht="48" customHeight="1">
      <c r="A57" s="3083"/>
      <c r="B57" s="3084"/>
      <c r="C57" s="3085" t="s">
        <v>4196</v>
      </c>
      <c r="D57" s="3086" t="s">
        <v>6272</v>
      </c>
      <c r="E57" s="4522" t="s">
        <v>4212</v>
      </c>
      <c r="F57" s="4523"/>
      <c r="G57" s="4524" t="s">
        <v>4197</v>
      </c>
      <c r="H57" s="4525"/>
      <c r="I57" s="4522" t="s">
        <v>4211</v>
      </c>
      <c r="J57" s="4523"/>
      <c r="K57" s="4526"/>
    </row>
    <row r="58" spans="1:13" ht="15" customHeight="1">
      <c r="A58" s="3087"/>
      <c r="B58" s="3088"/>
      <c r="C58" s="3089">
        <f>SUMIF(C33:C51, "0", H33:H51)</f>
        <v>0</v>
      </c>
      <c r="D58" s="3090">
        <f t="shared" ref="D58:D63" si="4">ROUNDUP(C58*1.1,0)</f>
        <v>0</v>
      </c>
      <c r="E58" s="4528" t="s">
        <v>4198</v>
      </c>
      <c r="F58" s="4529"/>
      <c r="G58" s="4530">
        <v>153314.4</v>
      </c>
      <c r="H58" s="4531"/>
      <c r="I58" s="4532">
        <f t="shared" ref="I58:I63" si="5">D58*G58</f>
        <v>0</v>
      </c>
      <c r="J58" s="4532"/>
      <c r="K58" s="4527"/>
    </row>
    <row r="59" spans="1:13">
      <c r="A59" s="3087"/>
      <c r="B59" s="3088"/>
      <c r="C59" s="3091">
        <f>SUMIF(C33:C51, "1", H33:H51)</f>
        <v>0</v>
      </c>
      <c r="D59" s="3092">
        <f t="shared" si="4"/>
        <v>0</v>
      </c>
      <c r="E59" s="4512" t="s">
        <v>2559</v>
      </c>
      <c r="F59" s="4513"/>
      <c r="G59" s="4514">
        <v>175752</v>
      </c>
      <c r="H59" s="4515"/>
      <c r="I59" s="4516">
        <f t="shared" si="5"/>
        <v>0</v>
      </c>
      <c r="J59" s="4516"/>
      <c r="K59" s="4527"/>
    </row>
    <row r="60" spans="1:13" ht="15" customHeight="1">
      <c r="A60" s="3087"/>
      <c r="B60" s="3088"/>
      <c r="C60" s="3091">
        <f>SUMIF(C33:C51, "2", H33:H51)</f>
        <v>0</v>
      </c>
      <c r="D60" s="3092">
        <f t="shared" si="4"/>
        <v>0</v>
      </c>
      <c r="E60" s="4512" t="s">
        <v>2560</v>
      </c>
      <c r="F60" s="4513"/>
      <c r="G60" s="4514">
        <v>213717.6</v>
      </c>
      <c r="H60" s="4515"/>
      <c r="I60" s="4516">
        <f t="shared" si="5"/>
        <v>0</v>
      </c>
      <c r="J60" s="4516"/>
      <c r="K60" s="4527"/>
    </row>
    <row r="61" spans="1:13">
      <c r="A61" s="3087"/>
      <c r="B61" s="3088"/>
      <c r="C61" s="3091">
        <f>SUMIF(C33:C51, "3", H33:H51)</f>
        <v>0</v>
      </c>
      <c r="D61" s="3092">
        <f t="shared" si="4"/>
        <v>0</v>
      </c>
      <c r="E61" s="4512" t="s">
        <v>2563</v>
      </c>
      <c r="F61" s="4513"/>
      <c r="G61" s="4514">
        <v>276482.40000000002</v>
      </c>
      <c r="H61" s="4515"/>
      <c r="I61" s="4516">
        <f t="shared" si="5"/>
        <v>0</v>
      </c>
      <c r="J61" s="4516"/>
      <c r="K61" s="4527"/>
    </row>
    <row r="62" spans="1:13">
      <c r="A62" s="3087"/>
      <c r="B62" s="3088"/>
      <c r="C62" s="3091">
        <f>SUMIF(C33:C51, "4", H33:H51)</f>
        <v>0</v>
      </c>
      <c r="D62" s="3092">
        <f t="shared" si="4"/>
        <v>0</v>
      </c>
      <c r="E62" s="4512" t="s">
        <v>4199</v>
      </c>
      <c r="F62" s="4513"/>
      <c r="G62" s="4514">
        <v>303489.59999999998</v>
      </c>
      <c r="H62" s="4515"/>
      <c r="I62" s="4516">
        <f t="shared" si="5"/>
        <v>0</v>
      </c>
      <c r="J62" s="4516"/>
      <c r="K62" s="4527"/>
    </row>
    <row r="63" spans="1:13">
      <c r="A63" s="3093"/>
      <c r="B63" s="3094"/>
      <c r="C63" s="3095">
        <f>SUMIF(C33:C51, "5", H33:H51)</f>
        <v>0</v>
      </c>
      <c r="D63" s="3096">
        <f t="shared" si="4"/>
        <v>0</v>
      </c>
      <c r="E63" s="4517" t="s">
        <v>4200</v>
      </c>
      <c r="F63" s="4518"/>
      <c r="G63" s="4519">
        <v>303489.59999999998</v>
      </c>
      <c r="H63" s="4520"/>
      <c r="I63" s="4521">
        <f t="shared" si="5"/>
        <v>0</v>
      </c>
      <c r="J63" s="4521"/>
      <c r="K63" s="3097"/>
    </row>
    <row r="64" spans="1:13" ht="17.25" thickBot="1">
      <c r="A64" s="3098" t="s">
        <v>4201</v>
      </c>
      <c r="B64" s="3099">
        <f>SUM(C58:C63)</f>
        <v>0</v>
      </c>
      <c r="C64" s="3100"/>
      <c r="D64" s="3100">
        <f>SUM(D58:D63)</f>
        <v>0</v>
      </c>
      <c r="E64" s="3101"/>
      <c r="F64" s="3101"/>
      <c r="G64" s="3101"/>
      <c r="H64" s="3101"/>
      <c r="I64" s="3101"/>
      <c r="J64" s="3102" t="s">
        <v>4202</v>
      </c>
      <c r="K64" s="3103">
        <f>SUM(I58:I62)</f>
        <v>0</v>
      </c>
    </row>
    <row r="65" spans="1:11">
      <c r="A65" s="4507"/>
      <c r="B65" s="4507"/>
      <c r="C65" s="4507"/>
      <c r="D65" s="4507"/>
      <c r="E65" s="4507"/>
      <c r="F65" s="4507"/>
      <c r="G65" s="4507"/>
      <c r="H65" s="4507"/>
      <c r="I65" s="4507"/>
      <c r="J65" s="4507"/>
    </row>
    <row r="66" spans="1:11">
      <c r="A66" s="4508" t="s">
        <v>4203</v>
      </c>
      <c r="B66" s="4509"/>
      <c r="C66" s="4509"/>
      <c r="D66" s="4509"/>
      <c r="E66" s="4509"/>
      <c r="F66" s="4509"/>
      <c r="G66" s="4509"/>
      <c r="H66" s="4509"/>
      <c r="I66" s="4509"/>
      <c r="J66" s="4509"/>
      <c r="K66" s="4510"/>
    </row>
    <row r="67" spans="1:11" ht="15" customHeight="1">
      <c r="A67" s="3104"/>
      <c r="B67" s="3105"/>
      <c r="C67" s="3106"/>
      <c r="D67" s="3106"/>
      <c r="E67" s="3106" t="s">
        <v>4204</v>
      </c>
      <c r="F67" s="3106"/>
      <c r="G67" s="3106"/>
      <c r="H67" s="3106"/>
      <c r="I67" s="3106"/>
      <c r="J67" s="3107"/>
      <c r="K67" s="3108">
        <f>J11</f>
        <v>0</v>
      </c>
    </row>
    <row r="68" spans="1:11">
      <c r="A68" s="3109"/>
      <c r="B68" s="3050"/>
      <c r="C68" s="3110"/>
      <c r="D68" s="3110"/>
      <c r="E68" s="3110" t="s">
        <v>4205</v>
      </c>
      <c r="F68" s="3110"/>
      <c r="G68" s="3110"/>
      <c r="H68" s="3110"/>
      <c r="I68" s="3110"/>
      <c r="J68" s="3111"/>
      <c r="K68" s="3108" t="e">
        <f>K54</f>
        <v>#VALUE!</v>
      </c>
    </row>
    <row r="69" spans="1:11" ht="17.25" thickBot="1">
      <c r="A69" s="3112"/>
      <c r="B69" s="3113"/>
      <c r="C69" s="3114"/>
      <c r="D69" s="3114"/>
      <c r="E69" s="3114" t="s">
        <v>4206</v>
      </c>
      <c r="F69" s="3114"/>
      <c r="G69" s="3114"/>
      <c r="H69" s="3114"/>
      <c r="I69" s="3114"/>
      <c r="J69" s="3115"/>
      <c r="K69" s="3116">
        <f>K64</f>
        <v>0</v>
      </c>
    </row>
    <row r="70" spans="1:11" ht="17.25" thickBot="1">
      <c r="A70" s="3117"/>
      <c r="B70" s="3118"/>
      <c r="C70" s="4511" t="s">
        <v>4207</v>
      </c>
      <c r="D70" s="4511"/>
      <c r="E70" s="4511"/>
      <c r="F70" s="4511"/>
      <c r="G70" s="4511"/>
      <c r="H70" s="4511"/>
      <c r="I70" s="4511"/>
      <c r="J70" s="4511"/>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h/cjb6AmFXVZWsCBtlp+Ml/Iv2UVHXhG/+I4DSl5pyWibUf/MJXpQFOPm+LC0O2mJZF2wvxT0sM46/Y/ThBkPg==" saltValue="tc5jPKQq2Nu5aXE0Vz5JA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649" t="str">
        <f>'Part I-Project Information'!F35</f>
        <v>Sparrow Pointe</v>
      </c>
      <c r="E3" s="4650"/>
      <c r="F3" s="4650"/>
      <c r="G3" s="4650"/>
      <c r="H3" s="4650"/>
      <c r="I3" s="4650"/>
      <c r="J3" s="4655" t="s">
        <v>4171</v>
      </c>
      <c r="K3" s="4656"/>
    </row>
    <row r="4" spans="1:11" ht="15" customHeight="1">
      <c r="A4" s="1415" t="s">
        <v>4169</v>
      </c>
      <c r="B4" s="1416"/>
      <c r="C4" s="1417"/>
      <c r="D4" s="4651" t="str">
        <f>CONCATENATE('Part I-Project Information'!F36,", ",'Part I-Project Information'!F39,", GA ",'Part I-Project Information'!J39," (",'Part I-Project Information'!J40," Co.)",)</f>
        <v>1301 Martha Berry Blvd, Rome, GA 301651615 (Floyd Co.)</v>
      </c>
      <c r="E4" s="4652"/>
      <c r="F4" s="4652"/>
      <c r="G4" s="4652"/>
      <c r="H4" s="4652"/>
      <c r="I4" s="4652"/>
      <c r="J4" s="4657" t="s">
        <v>4210</v>
      </c>
      <c r="K4" s="4658"/>
    </row>
    <row r="5" spans="1:11" ht="15" customHeight="1" thickBot="1">
      <c r="A5" s="1418" t="s">
        <v>4170</v>
      </c>
      <c r="B5" s="1419"/>
      <c r="C5" s="1420"/>
      <c r="D5" s="4653"/>
      <c r="E5" s="4654"/>
      <c r="F5" s="4654"/>
      <c r="G5" s="4654"/>
      <c r="H5" s="4654"/>
      <c r="I5" s="4654"/>
      <c r="J5" s="4659"/>
      <c r="K5" s="4660"/>
    </row>
    <row r="6" spans="1:11" ht="9" customHeight="1" thickBot="1">
      <c r="E6" s="1410"/>
    </row>
    <row r="7" spans="1:11">
      <c r="A7" s="4646" t="s">
        <v>4172</v>
      </c>
      <c r="B7" s="4647"/>
      <c r="C7" s="4647"/>
      <c r="D7" s="4647"/>
      <c r="E7" s="4647"/>
      <c r="F7" s="4647"/>
      <c r="G7" s="4647"/>
      <c r="H7" s="4647"/>
      <c r="I7" s="4647"/>
      <c r="J7" s="4647"/>
      <c r="K7" s="4648"/>
    </row>
    <row r="8" spans="1:11" ht="14.25" customHeight="1">
      <c r="A8" s="1436"/>
      <c r="B8" s="1436"/>
      <c r="C8" s="1450">
        <v>1</v>
      </c>
      <c r="D8" s="1437" t="s">
        <v>4173</v>
      </c>
      <c r="E8" s="1437"/>
      <c r="F8" s="1437"/>
      <c r="G8" s="1437"/>
      <c r="H8" s="1437"/>
      <c r="I8" s="1437"/>
      <c r="J8" s="4584"/>
      <c r="K8" s="4585"/>
    </row>
    <row r="9" spans="1:11" ht="7.15" customHeight="1">
      <c r="A9" s="4637"/>
      <c r="B9" s="4637"/>
      <c r="C9" s="4637"/>
      <c r="D9" s="4638"/>
      <c r="E9" s="4638"/>
      <c r="F9" s="4638"/>
      <c r="G9" s="4638"/>
      <c r="H9" s="4638"/>
      <c r="I9" s="4638"/>
      <c r="J9" s="4638"/>
      <c r="K9" s="1438"/>
    </row>
    <row r="10" spans="1:11">
      <c r="A10" s="4601" t="s">
        <v>4174</v>
      </c>
      <c r="B10" s="4602"/>
      <c r="C10" s="4602"/>
      <c r="D10" s="4602"/>
      <c r="E10" s="4602"/>
      <c r="F10" s="4602"/>
      <c r="G10" s="4602"/>
      <c r="H10" s="4602"/>
      <c r="I10" s="4602"/>
      <c r="J10" s="4602"/>
      <c r="K10" s="4603"/>
    </row>
    <row r="11" spans="1:11" ht="14.25" customHeight="1">
      <c r="A11" s="1436"/>
      <c r="B11" s="1436"/>
      <c r="C11" s="1450">
        <v>2</v>
      </c>
      <c r="D11" s="1437" t="s">
        <v>4175</v>
      </c>
      <c r="E11" s="1439"/>
      <c r="F11" s="1439"/>
      <c r="G11" s="1439"/>
      <c r="H11" s="1439"/>
      <c r="I11" s="1439"/>
      <c r="J11" s="4582"/>
      <c r="K11" s="4583"/>
    </row>
    <row r="12" spans="1:11" ht="7.15" customHeight="1">
      <c r="A12" s="4637"/>
      <c r="B12" s="4637"/>
      <c r="C12" s="4637"/>
      <c r="D12" s="4638"/>
      <c r="E12" s="4638"/>
      <c r="F12" s="4638"/>
      <c r="G12" s="4638"/>
      <c r="H12" s="4638"/>
      <c r="I12" s="4638"/>
      <c r="J12" s="4638"/>
      <c r="K12" s="1440"/>
    </row>
    <row r="13" spans="1:11">
      <c r="A13" s="4601" t="s">
        <v>4176</v>
      </c>
      <c r="B13" s="4602"/>
      <c r="C13" s="4602"/>
      <c r="D13" s="4602"/>
      <c r="E13" s="4602"/>
      <c r="F13" s="4602"/>
      <c r="G13" s="4602"/>
      <c r="H13" s="4602"/>
      <c r="I13" s="4602"/>
      <c r="J13" s="4602"/>
      <c r="K13" s="4603"/>
    </row>
    <row r="14" spans="1:11" ht="14.25" customHeight="1">
      <c r="A14" s="1416"/>
      <c r="B14" s="1416"/>
      <c r="C14" s="1451">
        <v>3</v>
      </c>
      <c r="D14" s="1441" t="s">
        <v>4177</v>
      </c>
      <c r="E14" s="1441"/>
      <c r="F14" s="1441"/>
      <c r="G14" s="1441"/>
      <c r="H14" s="1441"/>
      <c r="I14" s="1441"/>
      <c r="J14" s="4580"/>
      <c r="K14" s="4581"/>
    </row>
    <row r="15" spans="1:11" ht="14.25" customHeight="1">
      <c r="A15" s="1416"/>
      <c r="B15" s="1416"/>
      <c r="C15" s="1452">
        <v>4</v>
      </c>
      <c r="D15" s="1416" t="s">
        <v>4178</v>
      </c>
      <c r="E15" s="1416"/>
      <c r="F15" s="1416"/>
      <c r="G15" s="1416"/>
      <c r="H15" s="1416"/>
      <c r="I15" s="1416"/>
      <c r="J15" s="4578"/>
      <c r="K15" s="4579"/>
    </row>
    <row r="16" spans="1:11" ht="14.25" customHeight="1">
      <c r="A16" s="1416"/>
      <c r="B16" s="1416"/>
      <c r="C16" s="1452">
        <v>5</v>
      </c>
      <c r="D16" s="1416" t="s">
        <v>4179</v>
      </c>
      <c r="E16" s="1416"/>
      <c r="F16" s="1416"/>
      <c r="G16" s="1416"/>
      <c r="H16" s="1416"/>
      <c r="I16" s="1416"/>
      <c r="J16" s="4578"/>
      <c r="K16" s="4579"/>
    </row>
    <row r="17" spans="1:13" ht="14.25" customHeight="1">
      <c r="A17" s="1436"/>
      <c r="B17" s="1436"/>
      <c r="C17" s="1453">
        <v>6</v>
      </c>
      <c r="D17" s="1419" t="s">
        <v>4180</v>
      </c>
      <c r="E17" s="1419"/>
      <c r="F17" s="1419"/>
      <c r="G17" s="1419"/>
      <c r="H17" s="1419"/>
      <c r="I17" s="1419"/>
      <c r="J17" s="4592"/>
      <c r="K17" s="4593"/>
    </row>
    <row r="18" spans="1:13" ht="7.15" customHeight="1">
      <c r="A18" s="4637"/>
      <c r="B18" s="4637"/>
      <c r="C18" s="4637"/>
      <c r="D18" s="4638"/>
      <c r="E18" s="4638"/>
      <c r="F18" s="4638"/>
      <c r="G18" s="4638"/>
      <c r="H18" s="4638"/>
      <c r="I18" s="4638"/>
      <c r="J18" s="4638"/>
      <c r="K18" s="1440"/>
    </row>
    <row r="19" spans="1:13" ht="14.25" customHeight="1">
      <c r="A19" s="1416"/>
      <c r="B19" s="1416"/>
      <c r="C19" s="1451">
        <v>7</v>
      </c>
      <c r="D19" s="1441" t="s">
        <v>4181</v>
      </c>
      <c r="E19" s="1441"/>
      <c r="F19" s="1441"/>
      <c r="G19" s="1441"/>
      <c r="H19" s="1441"/>
      <c r="I19" s="1441"/>
      <c r="J19" s="4590" t="str">
        <f>IF(J17="No",J14-J15,IF(J17="Yes",J14-J15-J16,"Error"))</f>
        <v>Error</v>
      </c>
      <c r="K19" s="4591"/>
    </row>
    <row r="20" spans="1:13" ht="14.25" customHeight="1">
      <c r="A20" s="1436"/>
      <c r="B20" s="1436"/>
      <c r="C20" s="1453">
        <v>8</v>
      </c>
      <c r="D20" s="1419" t="s">
        <v>4182</v>
      </c>
      <c r="E20" s="1419"/>
      <c r="F20" s="1419"/>
      <c r="G20" s="1419"/>
      <c r="H20" s="1419"/>
      <c r="I20" s="1419"/>
      <c r="J20" s="4588" t="e">
        <f>ROUNDDOWN(J19/J8,2)</f>
        <v>#VALUE!</v>
      </c>
      <c r="K20" s="4589"/>
    </row>
    <row r="21" spans="1:13" ht="7.15" customHeight="1">
      <c r="A21" s="4637"/>
      <c r="B21" s="4637"/>
      <c r="C21" s="4637"/>
      <c r="D21" s="4638"/>
      <c r="E21" s="4638"/>
      <c r="F21" s="4638"/>
      <c r="G21" s="4638"/>
      <c r="H21" s="4638"/>
      <c r="I21" s="4638"/>
      <c r="J21" s="4638"/>
      <c r="K21" s="1440"/>
    </row>
    <row r="22" spans="1:13" ht="14.25" customHeight="1" thickBot="1">
      <c r="A22" s="1416"/>
      <c r="B22" s="1416"/>
      <c r="C22" s="1450">
        <v>9</v>
      </c>
      <c r="D22" s="1442" t="s">
        <v>4183</v>
      </c>
      <c r="E22" s="1442"/>
      <c r="F22" s="1442"/>
      <c r="G22" s="1442"/>
      <c r="H22" s="1442"/>
      <c r="I22" s="1442"/>
      <c r="J22" s="4586" t="e">
        <f>J11/J19</f>
        <v>#VALUE!</v>
      </c>
      <c r="K22" s="4587"/>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4" t="s">
        <v>4214</v>
      </c>
      <c r="B30" s="4605"/>
      <c r="C30" s="4605"/>
      <c r="D30" s="4605"/>
      <c r="E30" s="4605"/>
      <c r="F30" s="4605"/>
      <c r="G30" s="4605"/>
      <c r="H30" s="4605"/>
      <c r="I30" s="4605"/>
      <c r="J30" s="4605"/>
      <c r="K30" s="4606"/>
    </row>
    <row r="31" spans="1:13">
      <c r="A31" s="1434"/>
      <c r="B31" s="4607" t="s">
        <v>4171</v>
      </c>
      <c r="C31" s="4607"/>
      <c r="D31" s="4607"/>
      <c r="E31" s="4607"/>
      <c r="F31" s="4607"/>
      <c r="G31" s="4639" t="s">
        <v>4185</v>
      </c>
      <c r="H31" s="4640"/>
      <c r="I31" s="4640"/>
      <c r="J31" s="4640"/>
      <c r="K31" s="4641"/>
    </row>
    <row r="32" spans="1:13" ht="56.25" customHeight="1">
      <c r="A32" s="1435"/>
      <c r="B32" s="1454" t="s">
        <v>4213</v>
      </c>
      <c r="C32" s="1455" t="s">
        <v>4209</v>
      </c>
      <c r="D32" s="1455" t="s">
        <v>4208</v>
      </c>
      <c r="E32" s="4642" t="s">
        <v>6312</v>
      </c>
      <c r="F32" s="4643"/>
      <c r="G32" s="1456" t="s">
        <v>4186</v>
      </c>
      <c r="H32" s="1456" t="s">
        <v>4187</v>
      </c>
      <c r="J32" s="1456" t="s">
        <v>4188</v>
      </c>
      <c r="K32" s="1456" t="s">
        <v>4189</v>
      </c>
      <c r="L32" s="4599" t="s">
        <v>4190</v>
      </c>
      <c r="M32" s="4599"/>
    </row>
    <row r="33" spans="2:14" ht="12.75" customHeight="1">
      <c r="B33" s="1569"/>
      <c r="C33" s="1570"/>
      <c r="D33" s="1571"/>
      <c r="E33" s="4644"/>
      <c r="F33" s="4645"/>
      <c r="G33" s="1476" t="e">
        <f t="shared" ref="G33:G51" si="0">$J$22*B33</f>
        <v>#VALUE!</v>
      </c>
      <c r="H33" s="1477" t="e">
        <f>ROUNDUP(G33,0)</f>
        <v>#VALUE!</v>
      </c>
      <c r="I33" s="1478"/>
      <c r="J33" s="1479" t="e">
        <f t="shared" ref="J33:J51" si="1">$J$20*E33</f>
        <v>#VALUE!</v>
      </c>
      <c r="K33" s="1479" t="e">
        <f t="shared" ref="K33:K51" si="2">ROUNDDOWN(J33*H33,0)</f>
        <v>#VALUE!</v>
      </c>
      <c r="L33" s="4599"/>
      <c r="M33" s="4599"/>
    </row>
    <row r="34" spans="2:14" ht="12.75" customHeight="1">
      <c r="B34" s="1572"/>
      <c r="C34" s="1573"/>
      <c r="D34" s="1574"/>
      <c r="E34" s="4596"/>
      <c r="F34" s="4597"/>
      <c r="G34" s="1480" t="e">
        <f t="shared" si="0"/>
        <v>#VALUE!</v>
      </c>
      <c r="H34" s="1481" t="e">
        <f t="shared" ref="H34:H51" si="3">ROUNDUP(G34,0)</f>
        <v>#VALUE!</v>
      </c>
      <c r="I34" s="1478"/>
      <c r="J34" s="1482" t="e">
        <f t="shared" si="1"/>
        <v>#VALUE!</v>
      </c>
      <c r="K34" s="1482" t="e">
        <f t="shared" si="2"/>
        <v>#VALUE!</v>
      </c>
      <c r="L34" s="4599"/>
      <c r="M34" s="4599"/>
    </row>
    <row r="35" spans="2:14" ht="12.75" customHeight="1">
      <c r="B35" s="1572"/>
      <c r="C35" s="1573"/>
      <c r="D35" s="1574"/>
      <c r="E35" s="4596"/>
      <c r="F35" s="4597"/>
      <c r="G35" s="1480" t="e">
        <f t="shared" si="0"/>
        <v>#VALUE!</v>
      </c>
      <c r="H35" s="1481" t="e">
        <f t="shared" si="3"/>
        <v>#VALUE!</v>
      </c>
      <c r="I35" s="1478"/>
      <c r="J35" s="1482" t="e">
        <f t="shared" si="1"/>
        <v>#VALUE!</v>
      </c>
      <c r="K35" s="1482" t="e">
        <f t="shared" si="2"/>
        <v>#VALUE!</v>
      </c>
      <c r="L35" s="4599"/>
      <c r="M35" s="4599"/>
    </row>
    <row r="36" spans="2:14" ht="12.75" customHeight="1">
      <c r="B36" s="1572"/>
      <c r="C36" s="1573"/>
      <c r="D36" s="1574"/>
      <c r="E36" s="4596"/>
      <c r="F36" s="4597"/>
      <c r="G36" s="1480" t="e">
        <f t="shared" si="0"/>
        <v>#VALUE!</v>
      </c>
      <c r="H36" s="1481" t="e">
        <f t="shared" si="3"/>
        <v>#VALUE!</v>
      </c>
      <c r="I36" s="1478"/>
      <c r="J36" s="1482" t="e">
        <f t="shared" si="1"/>
        <v>#VALUE!</v>
      </c>
      <c r="K36" s="1482" t="e">
        <f t="shared" si="2"/>
        <v>#VALUE!</v>
      </c>
      <c r="L36" s="4599"/>
      <c r="M36" s="4599"/>
      <c r="N36" s="1429"/>
    </row>
    <row r="37" spans="2:14" ht="12.75" customHeight="1">
      <c r="B37" s="1572"/>
      <c r="C37" s="1573"/>
      <c r="D37" s="1574"/>
      <c r="E37" s="4596"/>
      <c r="F37" s="4597"/>
      <c r="G37" s="1480" t="e">
        <f t="shared" si="0"/>
        <v>#VALUE!</v>
      </c>
      <c r="H37" s="1481" t="e">
        <f t="shared" si="3"/>
        <v>#VALUE!</v>
      </c>
      <c r="I37" s="1478"/>
      <c r="J37" s="1482" t="e">
        <f t="shared" si="1"/>
        <v>#VALUE!</v>
      </c>
      <c r="K37" s="1482" t="e">
        <f t="shared" si="2"/>
        <v>#VALUE!</v>
      </c>
      <c r="L37" s="4599"/>
      <c r="M37" s="4599"/>
    </row>
    <row r="38" spans="2:14" ht="12.75" customHeight="1">
      <c r="B38" s="1572"/>
      <c r="C38" s="1573"/>
      <c r="D38" s="1574"/>
      <c r="E38" s="4596"/>
      <c r="F38" s="4597"/>
      <c r="G38" s="1480" t="e">
        <f t="shared" si="0"/>
        <v>#VALUE!</v>
      </c>
      <c r="H38" s="1481" t="e">
        <f t="shared" si="3"/>
        <v>#VALUE!</v>
      </c>
      <c r="I38" s="1478"/>
      <c r="J38" s="1482" t="e">
        <f t="shared" si="1"/>
        <v>#VALUE!</v>
      </c>
      <c r="K38" s="1482" t="e">
        <f t="shared" si="2"/>
        <v>#VALUE!</v>
      </c>
      <c r="L38" s="4599"/>
      <c r="M38" s="4599"/>
    </row>
    <row r="39" spans="2:14" ht="12.75" customHeight="1">
      <c r="B39" s="1572"/>
      <c r="C39" s="1573"/>
      <c r="D39" s="1574"/>
      <c r="E39" s="4596"/>
      <c r="F39" s="4597"/>
      <c r="G39" s="1480" t="e">
        <f t="shared" si="0"/>
        <v>#VALUE!</v>
      </c>
      <c r="H39" s="1481" t="e">
        <f t="shared" si="3"/>
        <v>#VALUE!</v>
      </c>
      <c r="I39" s="1478"/>
      <c r="J39" s="1482" t="e">
        <f t="shared" si="1"/>
        <v>#VALUE!</v>
      </c>
      <c r="K39" s="1482" t="e">
        <f t="shared" si="2"/>
        <v>#VALUE!</v>
      </c>
      <c r="L39" s="4599"/>
      <c r="M39" s="4599"/>
    </row>
    <row r="40" spans="2:14" ht="12.75" customHeight="1">
      <c r="B40" s="1572"/>
      <c r="C40" s="1573"/>
      <c r="D40" s="1574"/>
      <c r="E40" s="4596"/>
      <c r="F40" s="4597"/>
      <c r="G40" s="1480" t="e">
        <f t="shared" si="0"/>
        <v>#VALUE!</v>
      </c>
      <c r="H40" s="1481" t="e">
        <f t="shared" si="3"/>
        <v>#VALUE!</v>
      </c>
      <c r="I40" s="1478"/>
      <c r="J40" s="1482" t="e">
        <f t="shared" si="1"/>
        <v>#VALUE!</v>
      </c>
      <c r="K40" s="1482" t="e">
        <f t="shared" si="2"/>
        <v>#VALUE!</v>
      </c>
      <c r="L40" s="4599"/>
      <c r="M40" s="4599"/>
    </row>
    <row r="41" spans="2:14" ht="12.75" customHeight="1">
      <c r="B41" s="1572"/>
      <c r="C41" s="1573"/>
      <c r="D41" s="1574"/>
      <c r="E41" s="4596"/>
      <c r="F41" s="4597"/>
      <c r="G41" s="1480" t="e">
        <f t="shared" si="0"/>
        <v>#VALUE!</v>
      </c>
      <c r="H41" s="1481" t="e">
        <f t="shared" si="3"/>
        <v>#VALUE!</v>
      </c>
      <c r="I41" s="1478"/>
      <c r="J41" s="1482" t="e">
        <f t="shared" si="1"/>
        <v>#VALUE!</v>
      </c>
      <c r="K41" s="1482" t="e">
        <f t="shared" si="2"/>
        <v>#VALUE!</v>
      </c>
      <c r="L41" s="4599"/>
      <c r="M41" s="4599"/>
    </row>
    <row r="42" spans="2:14" ht="12.75" customHeight="1">
      <c r="B42" s="1572"/>
      <c r="C42" s="1573"/>
      <c r="D42" s="1574"/>
      <c r="E42" s="4596"/>
      <c r="F42" s="4597"/>
      <c r="G42" s="1480" t="e">
        <f t="shared" si="0"/>
        <v>#VALUE!</v>
      </c>
      <c r="H42" s="1481" t="e">
        <f>ROUNDUP(G42,0)</f>
        <v>#VALUE!</v>
      </c>
      <c r="I42" s="1478"/>
      <c r="J42" s="1482" t="e">
        <f t="shared" si="1"/>
        <v>#VALUE!</v>
      </c>
      <c r="K42" s="1482" t="e">
        <f t="shared" si="2"/>
        <v>#VALUE!</v>
      </c>
      <c r="L42" s="4599"/>
      <c r="M42" s="4599"/>
    </row>
    <row r="43" spans="2:14" ht="12.75" customHeight="1">
      <c r="B43" s="1572"/>
      <c r="C43" s="1573"/>
      <c r="D43" s="1574"/>
      <c r="E43" s="4596"/>
      <c r="F43" s="4597"/>
      <c r="G43" s="1480" t="e">
        <f t="shared" si="0"/>
        <v>#VALUE!</v>
      </c>
      <c r="H43" s="1481" t="e">
        <f>ROUNDUP(G43,0)</f>
        <v>#VALUE!</v>
      </c>
      <c r="I43" s="1478"/>
      <c r="J43" s="1482" t="e">
        <f t="shared" si="1"/>
        <v>#VALUE!</v>
      </c>
      <c r="K43" s="1482" t="e">
        <f t="shared" si="2"/>
        <v>#VALUE!</v>
      </c>
      <c r="L43" s="4599"/>
      <c r="M43" s="4599"/>
    </row>
    <row r="44" spans="2:14" ht="12.75" customHeight="1">
      <c r="B44" s="1572"/>
      <c r="C44" s="1573"/>
      <c r="D44" s="1574"/>
      <c r="E44" s="4596"/>
      <c r="F44" s="4597"/>
      <c r="G44" s="1480" t="e">
        <f t="shared" si="0"/>
        <v>#VALUE!</v>
      </c>
      <c r="H44" s="1481" t="e">
        <f>ROUNDUP(G44,0)</f>
        <v>#VALUE!</v>
      </c>
      <c r="I44" s="1478"/>
      <c r="J44" s="1482" t="e">
        <f t="shared" si="1"/>
        <v>#VALUE!</v>
      </c>
      <c r="K44" s="1482" t="e">
        <f t="shared" si="2"/>
        <v>#VALUE!</v>
      </c>
      <c r="L44" s="4599"/>
      <c r="M44" s="4599"/>
    </row>
    <row r="45" spans="2:14" ht="12.75" customHeight="1">
      <c r="B45" s="1572"/>
      <c r="C45" s="1573"/>
      <c r="D45" s="1574"/>
      <c r="E45" s="4596"/>
      <c r="F45" s="4597"/>
      <c r="G45" s="1480" t="e">
        <f t="shared" si="0"/>
        <v>#VALUE!</v>
      </c>
      <c r="H45" s="1481" t="e">
        <f>ROUNDUP(G45,0)</f>
        <v>#VALUE!</v>
      </c>
      <c r="I45" s="1478"/>
      <c r="J45" s="1482" t="e">
        <f t="shared" si="1"/>
        <v>#VALUE!</v>
      </c>
      <c r="K45" s="1482" t="e">
        <f t="shared" si="2"/>
        <v>#VALUE!</v>
      </c>
      <c r="L45" s="4599"/>
      <c r="M45" s="4599"/>
    </row>
    <row r="46" spans="2:14" ht="12.75" customHeight="1">
      <c r="B46" s="1572"/>
      <c r="C46" s="1573"/>
      <c r="D46" s="1574"/>
      <c r="E46" s="4596"/>
      <c r="F46" s="4597"/>
      <c r="G46" s="1480" t="e">
        <f t="shared" si="0"/>
        <v>#VALUE!</v>
      </c>
      <c r="H46" s="1481" t="e">
        <f t="shared" si="3"/>
        <v>#VALUE!</v>
      </c>
      <c r="I46" s="1478"/>
      <c r="J46" s="1482" t="e">
        <f t="shared" si="1"/>
        <v>#VALUE!</v>
      </c>
      <c r="K46" s="1482" t="e">
        <f t="shared" si="2"/>
        <v>#VALUE!</v>
      </c>
      <c r="L46" s="4599"/>
      <c r="M46" s="4599"/>
    </row>
    <row r="47" spans="2:14" ht="12.75" customHeight="1">
      <c r="B47" s="1572"/>
      <c r="C47" s="1573"/>
      <c r="D47" s="1574"/>
      <c r="E47" s="4596"/>
      <c r="F47" s="4597"/>
      <c r="G47" s="1480" t="e">
        <f t="shared" si="0"/>
        <v>#VALUE!</v>
      </c>
      <c r="H47" s="1481" t="e">
        <f t="shared" si="3"/>
        <v>#VALUE!</v>
      </c>
      <c r="I47" s="1478"/>
      <c r="J47" s="1482" t="e">
        <f t="shared" si="1"/>
        <v>#VALUE!</v>
      </c>
      <c r="K47" s="1482" t="e">
        <f t="shared" si="2"/>
        <v>#VALUE!</v>
      </c>
      <c r="L47" s="4599"/>
      <c r="M47" s="4599"/>
    </row>
    <row r="48" spans="2:14" ht="12.75" customHeight="1">
      <c r="B48" s="1572"/>
      <c r="C48" s="1573"/>
      <c r="D48" s="1574"/>
      <c r="E48" s="4596"/>
      <c r="F48" s="4597"/>
      <c r="G48" s="1480" t="e">
        <f t="shared" si="0"/>
        <v>#VALUE!</v>
      </c>
      <c r="H48" s="1481" t="e">
        <f>ROUNDUP(G48,0)</f>
        <v>#VALUE!</v>
      </c>
      <c r="I48" s="1478"/>
      <c r="J48" s="1482" t="e">
        <f t="shared" si="1"/>
        <v>#VALUE!</v>
      </c>
      <c r="K48" s="1482" t="e">
        <f t="shared" si="2"/>
        <v>#VALUE!</v>
      </c>
      <c r="L48" s="4599"/>
      <c r="M48" s="4599"/>
    </row>
    <row r="49" spans="1:13" ht="12.75" customHeight="1">
      <c r="B49" s="1572"/>
      <c r="C49" s="1573"/>
      <c r="D49" s="1574"/>
      <c r="E49" s="4596"/>
      <c r="F49" s="4597"/>
      <c r="G49" s="1480" t="e">
        <f t="shared" si="0"/>
        <v>#VALUE!</v>
      </c>
      <c r="H49" s="1481" t="e">
        <f t="shared" si="3"/>
        <v>#VALUE!</v>
      </c>
      <c r="I49" s="1478"/>
      <c r="J49" s="1482" t="e">
        <f t="shared" si="1"/>
        <v>#VALUE!</v>
      </c>
      <c r="K49" s="1482" t="e">
        <f t="shared" si="2"/>
        <v>#VALUE!</v>
      </c>
      <c r="L49" s="4599"/>
      <c r="M49" s="4599"/>
    </row>
    <row r="50" spans="1:13" ht="12.75" customHeight="1">
      <c r="B50" s="1572"/>
      <c r="C50" s="1573"/>
      <c r="D50" s="1574"/>
      <c r="E50" s="4596"/>
      <c r="F50" s="4597"/>
      <c r="G50" s="1480" t="e">
        <f t="shared" si="0"/>
        <v>#VALUE!</v>
      </c>
      <c r="H50" s="1481" t="e">
        <f t="shared" si="3"/>
        <v>#VALUE!</v>
      </c>
      <c r="I50" s="1478"/>
      <c r="J50" s="1482" t="e">
        <f t="shared" si="1"/>
        <v>#VALUE!</v>
      </c>
      <c r="K50" s="1482" t="e">
        <f t="shared" si="2"/>
        <v>#VALUE!</v>
      </c>
      <c r="L50" s="4599"/>
      <c r="M50" s="4599"/>
    </row>
    <row r="51" spans="1:13" ht="12.75" customHeight="1" thickBot="1">
      <c r="B51" s="1575"/>
      <c r="C51" s="1576"/>
      <c r="D51" s="1577"/>
      <c r="E51" s="4594"/>
      <c r="F51" s="4595"/>
      <c r="G51" s="1483" t="e">
        <f t="shared" si="0"/>
        <v>#VALUE!</v>
      </c>
      <c r="H51" s="1484" t="e">
        <f t="shared" si="3"/>
        <v>#VALUE!</v>
      </c>
      <c r="I51" s="1478"/>
      <c r="J51" s="1485" t="e">
        <f t="shared" si="1"/>
        <v>#VALUE!</v>
      </c>
      <c r="K51" s="1485" t="e">
        <f t="shared" si="2"/>
        <v>#VALUE!</v>
      </c>
      <c r="L51" s="4599"/>
      <c r="M51" s="4599"/>
    </row>
    <row r="52" spans="1:13" ht="15" customHeight="1" thickBot="1">
      <c r="A52" s="1434"/>
      <c r="B52" s="1447"/>
      <c r="D52" s="1441"/>
      <c r="E52" s="1441"/>
      <c r="F52" s="1441"/>
      <c r="G52" s="1459" t="s">
        <v>4191</v>
      </c>
      <c r="H52" s="1458" t="e">
        <f>SUM(H33:H51)</f>
        <v>#VALUE!</v>
      </c>
      <c r="I52" s="1441"/>
      <c r="J52" s="1447" t="s">
        <v>4192</v>
      </c>
      <c r="K52" s="1443" t="e">
        <f>SUM(K33:K51)</f>
        <v>#VALUE!</v>
      </c>
      <c r="L52" s="4599"/>
      <c r="M52" s="4599"/>
    </row>
    <row r="53" spans="1:13" ht="15" customHeight="1">
      <c r="A53" s="1434"/>
      <c r="B53" s="1448"/>
      <c r="C53" s="4621" t="s">
        <v>4193</v>
      </c>
      <c r="D53" s="4621"/>
      <c r="E53" s="4621"/>
      <c r="F53" s="4621"/>
      <c r="G53" s="4621"/>
      <c r="H53" s="4621"/>
      <c r="I53" s="4621"/>
      <c r="J53" s="4622"/>
      <c r="K53" s="1449" t="str">
        <f>IF(J17="no",0,IF(J17="yes",J16,"Error"))</f>
        <v>Error</v>
      </c>
      <c r="L53" s="4599"/>
      <c r="M53" s="4599"/>
    </row>
    <row r="54" spans="1:13" ht="15" customHeight="1" thickBot="1">
      <c r="A54" s="1434"/>
      <c r="B54" s="1448"/>
      <c r="C54" s="4623" t="s">
        <v>4194</v>
      </c>
      <c r="D54" s="4623"/>
      <c r="E54" s="4623"/>
      <c r="F54" s="4623"/>
      <c r="G54" s="4623"/>
      <c r="H54" s="4623"/>
      <c r="I54" s="4623"/>
      <c r="J54" s="4624"/>
      <c r="K54" s="1461" t="e">
        <f>K52+K53</f>
        <v>#VALUE!</v>
      </c>
    </row>
    <row r="55" spans="1:13" ht="7.9" customHeight="1">
      <c r="A55" s="4625"/>
      <c r="B55" s="4616"/>
      <c r="C55" s="4616"/>
      <c r="D55" s="4616"/>
      <c r="E55" s="4616"/>
      <c r="F55" s="4616"/>
      <c r="G55" s="4616"/>
      <c r="H55" s="4616"/>
      <c r="I55" s="4616"/>
      <c r="J55" s="4616"/>
      <c r="K55" s="1475"/>
    </row>
    <row r="56" spans="1:13" ht="15" customHeight="1">
      <c r="A56" s="4608" t="s">
        <v>4195</v>
      </c>
      <c r="B56" s="4609"/>
      <c r="C56" s="4609"/>
      <c r="D56" s="4609"/>
      <c r="E56" s="4609"/>
      <c r="F56" s="4609"/>
      <c r="G56" s="4609"/>
      <c r="H56" s="4609"/>
      <c r="I56" s="4609"/>
      <c r="J56" s="4609"/>
      <c r="K56" s="4610"/>
    </row>
    <row r="57" spans="1:13" ht="48" customHeight="1">
      <c r="A57" s="1431"/>
      <c r="B57" s="1422"/>
      <c r="C57" s="1433" t="s">
        <v>4196</v>
      </c>
      <c r="D57" s="1555" t="s">
        <v>6272</v>
      </c>
      <c r="E57" s="4626" t="s">
        <v>4212</v>
      </c>
      <c r="F57" s="4627"/>
      <c r="G57" s="4628" t="s">
        <v>4197</v>
      </c>
      <c r="H57" s="4629"/>
      <c r="I57" s="4626" t="s">
        <v>4211</v>
      </c>
      <c r="J57" s="4627"/>
      <c r="K57" s="4630"/>
    </row>
    <row r="58" spans="1:13" ht="15" customHeight="1">
      <c r="A58" s="1532"/>
      <c r="B58" s="1552"/>
      <c r="C58" s="1444">
        <f>SUMIF(C33:C51, "0", H33:H51)</f>
        <v>0</v>
      </c>
      <c r="D58" s="1556">
        <f t="shared" ref="D58:D63" si="4">ROUNDUP(C58*1.1,0)</f>
        <v>0</v>
      </c>
      <c r="E58" s="4632" t="s">
        <v>4198</v>
      </c>
      <c r="F58" s="4633"/>
      <c r="G58" s="4634">
        <v>153314.4</v>
      </c>
      <c r="H58" s="4635"/>
      <c r="I58" s="4636">
        <f t="shared" ref="I58:I63" si="5">D58*G58</f>
        <v>0</v>
      </c>
      <c r="J58" s="4636"/>
      <c r="K58" s="4631"/>
    </row>
    <row r="59" spans="1:13">
      <c r="A59" s="1532"/>
      <c r="B59" s="1552"/>
      <c r="C59" s="1445">
        <f>SUMIF(C33:C51, "1", H33:H51)</f>
        <v>0</v>
      </c>
      <c r="D59" s="1557">
        <f t="shared" si="4"/>
        <v>0</v>
      </c>
      <c r="E59" s="4617" t="s">
        <v>2559</v>
      </c>
      <c r="F59" s="4618"/>
      <c r="G59" s="4619">
        <v>175752</v>
      </c>
      <c r="H59" s="4620"/>
      <c r="I59" s="4598">
        <f t="shared" si="5"/>
        <v>0</v>
      </c>
      <c r="J59" s="4598"/>
      <c r="K59" s="4631"/>
    </row>
    <row r="60" spans="1:13" ht="15" customHeight="1">
      <c r="A60" s="1532"/>
      <c r="B60" s="1552"/>
      <c r="C60" s="1445">
        <f>SUMIF(C33:C51, "2", H33:H51)</f>
        <v>0</v>
      </c>
      <c r="D60" s="1557">
        <f t="shared" si="4"/>
        <v>0</v>
      </c>
      <c r="E60" s="4617" t="s">
        <v>2560</v>
      </c>
      <c r="F60" s="4618"/>
      <c r="G60" s="4619">
        <v>213717.6</v>
      </c>
      <c r="H60" s="4620"/>
      <c r="I60" s="4598">
        <f t="shared" si="5"/>
        <v>0</v>
      </c>
      <c r="J60" s="4598"/>
      <c r="K60" s="4631"/>
    </row>
    <row r="61" spans="1:13">
      <c r="A61" s="1532"/>
      <c r="B61" s="1552"/>
      <c r="C61" s="1445">
        <f>SUMIF(C33:C51, "3", H33:H51)</f>
        <v>0</v>
      </c>
      <c r="D61" s="1557">
        <f t="shared" si="4"/>
        <v>0</v>
      </c>
      <c r="E61" s="4617" t="s">
        <v>2563</v>
      </c>
      <c r="F61" s="4618"/>
      <c r="G61" s="4619">
        <v>276482.40000000002</v>
      </c>
      <c r="H61" s="4620"/>
      <c r="I61" s="4598">
        <f t="shared" si="5"/>
        <v>0</v>
      </c>
      <c r="J61" s="4598"/>
      <c r="K61" s="4631"/>
    </row>
    <row r="62" spans="1:13">
      <c r="A62" s="1532"/>
      <c r="B62" s="1552"/>
      <c r="C62" s="1445">
        <f>SUMIF(C33:C51, "4", H33:H51)</f>
        <v>0</v>
      </c>
      <c r="D62" s="1557">
        <f t="shared" si="4"/>
        <v>0</v>
      </c>
      <c r="E62" s="4617" t="s">
        <v>4199</v>
      </c>
      <c r="F62" s="4618"/>
      <c r="G62" s="4619">
        <v>303489.59999999998</v>
      </c>
      <c r="H62" s="4620"/>
      <c r="I62" s="4598">
        <f t="shared" si="5"/>
        <v>0</v>
      </c>
      <c r="J62" s="4598"/>
      <c r="K62" s="4631"/>
    </row>
    <row r="63" spans="1:13">
      <c r="A63" s="1553"/>
      <c r="B63" s="1554"/>
      <c r="C63" s="1446">
        <f>SUMIF(C33:C51, "5", H33:H51)</f>
        <v>0</v>
      </c>
      <c r="D63" s="1558">
        <f t="shared" si="4"/>
        <v>0</v>
      </c>
      <c r="E63" s="4611" t="s">
        <v>4200</v>
      </c>
      <c r="F63" s="4612"/>
      <c r="G63" s="4613">
        <v>303489.59999999998</v>
      </c>
      <c r="H63" s="4614"/>
      <c r="I63" s="4615">
        <f t="shared" si="5"/>
        <v>0</v>
      </c>
      <c r="J63" s="4615"/>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16"/>
      <c r="B65" s="4616"/>
      <c r="C65" s="4616"/>
      <c r="D65" s="4616"/>
      <c r="E65" s="4616"/>
      <c r="F65" s="4616"/>
      <c r="G65" s="4616"/>
      <c r="H65" s="4616"/>
      <c r="I65" s="4616"/>
      <c r="J65" s="4616"/>
    </row>
    <row r="66" spans="1:11">
      <c r="A66" s="4608" t="s">
        <v>4203</v>
      </c>
      <c r="B66" s="4609"/>
      <c r="C66" s="4609"/>
      <c r="D66" s="4609"/>
      <c r="E66" s="4609"/>
      <c r="F66" s="4609"/>
      <c r="G66" s="4609"/>
      <c r="H66" s="4609"/>
      <c r="I66" s="4609"/>
      <c r="J66" s="4609"/>
      <c r="K66" s="4610"/>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600" t="s">
        <v>4207</v>
      </c>
      <c r="D70" s="4600"/>
      <c r="E70" s="4600"/>
      <c r="F70" s="4600"/>
      <c r="G70" s="4600"/>
      <c r="H70" s="4600"/>
      <c r="I70" s="4600"/>
      <c r="J70" s="460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Sparrow Pointe</v>
      </c>
    </row>
    <row r="2" spans="1:11">
      <c r="A2" s="636" t="s">
        <v>3002</v>
      </c>
      <c r="H2" s="699" t="str">
        <f>'Sensitivity Analysis'!E8</f>
        <v>2021-050</v>
      </c>
    </row>
    <row r="3" spans="1:11" ht="3" customHeight="1"/>
    <row r="4" spans="1:11" ht="51.75" customHeight="1">
      <c r="A4" s="4661" t="s">
        <v>3098</v>
      </c>
      <c r="B4" s="4661"/>
      <c r="C4" s="4661"/>
      <c r="D4" s="4661"/>
      <c r="E4" s="4661"/>
      <c r="F4" s="4661"/>
      <c r="G4" s="4661"/>
      <c r="H4" s="4661"/>
      <c r="J4" s="1077">
        <f>SUM('Part VII-Pro Forma'!B15:B17)/12</f>
        <v>27571.058999999997</v>
      </c>
      <c r="K4" s="1076" t="s">
        <v>3816</v>
      </c>
    </row>
    <row r="5" spans="1:11" ht="1.5" customHeight="1">
      <c r="C5" s="741"/>
      <c r="D5" s="741"/>
      <c r="E5" s="741"/>
      <c r="F5" s="741"/>
      <c r="G5" s="741"/>
      <c r="H5" s="741"/>
    </row>
    <row r="6" spans="1:11" ht="12.75" customHeight="1">
      <c r="B6" s="742" t="s">
        <v>2324</v>
      </c>
      <c r="C6" s="4661" t="s">
        <v>3003</v>
      </c>
      <c r="D6" s="4661"/>
      <c r="E6" s="4661"/>
      <c r="F6" s="4661"/>
      <c r="G6" s="4661"/>
      <c r="H6" s="4661"/>
    </row>
    <row r="7" spans="1:11" ht="12.75" customHeight="1">
      <c r="B7" s="742" t="s">
        <v>2325</v>
      </c>
      <c r="C7" s="4661" t="s">
        <v>3004</v>
      </c>
      <c r="D7" s="4661"/>
      <c r="E7" s="4661"/>
      <c r="F7" s="4661"/>
      <c r="G7" s="4661"/>
      <c r="H7" s="4661"/>
    </row>
    <row r="8" spans="1:11" ht="3" customHeight="1"/>
    <row r="9" spans="1:11">
      <c r="A9" s="699" t="s">
        <v>3005</v>
      </c>
    </row>
    <row r="10" spans="1:11" ht="1.5" customHeight="1"/>
    <row r="11" spans="1:11" ht="26.25" customHeight="1">
      <c r="A11" s="743" t="s">
        <v>1893</v>
      </c>
      <c r="B11" s="4667" t="s">
        <v>3095</v>
      </c>
      <c r="C11" s="4667"/>
      <c r="D11" s="4667"/>
      <c r="E11" s="4667"/>
      <c r="F11" s="4667"/>
      <c r="G11" s="4668">
        <f>'Part III-Sources of Funds'!I51+'Part III-Sources of Funds'!I52</f>
        <v>12385511</v>
      </c>
      <c r="H11" s="4668"/>
    </row>
    <row r="12" spans="1:11" ht="1.5" customHeight="1">
      <c r="G12" s="712"/>
      <c r="H12" s="712"/>
    </row>
    <row r="13" spans="1:11" ht="26.25" customHeight="1">
      <c r="A13" s="743" t="s">
        <v>1895</v>
      </c>
      <c r="B13" s="4667" t="s">
        <v>3096</v>
      </c>
      <c r="C13" s="4667"/>
      <c r="D13" s="4667"/>
      <c r="E13" s="4667"/>
      <c r="F13" s="4667"/>
      <c r="G13" s="4669" t="s">
        <v>2933</v>
      </c>
      <c r="H13" s="4669"/>
    </row>
    <row r="14" spans="1:11" ht="12" hidden="1" customHeight="1">
      <c r="A14" s="743"/>
      <c r="B14" s="4484"/>
      <c r="C14" s="4484"/>
      <c r="D14" s="4484"/>
      <c r="E14" s="4484"/>
      <c r="F14" s="4484"/>
      <c r="G14" s="4484"/>
      <c r="H14" s="4484"/>
    </row>
    <row r="15" spans="1:11" ht="1.5" customHeight="1"/>
    <row r="16" spans="1:11" ht="12" customHeight="1">
      <c r="A16" s="743" t="s">
        <v>719</v>
      </c>
      <c r="B16" s="699" t="s">
        <v>3099</v>
      </c>
      <c r="F16" s="735"/>
      <c r="G16" s="4478" t="s">
        <v>2772</v>
      </c>
      <c r="H16" s="4478"/>
    </row>
    <row r="17" spans="1:8" ht="1.5" customHeight="1">
      <c r="G17" s="717"/>
    </row>
    <row r="18" spans="1:8" ht="12" customHeight="1">
      <c r="A18" s="743" t="s">
        <v>2021</v>
      </c>
      <c r="B18" s="712" t="s">
        <v>3097</v>
      </c>
      <c r="C18" s="743"/>
      <c r="D18" s="743"/>
      <c r="E18" s="743"/>
      <c r="G18" s="4484" t="s">
        <v>2625</v>
      </c>
      <c r="H18" s="4484"/>
    </row>
    <row r="19" spans="1:8" ht="12" hidden="1" customHeight="1">
      <c r="B19" s="4484"/>
      <c r="C19" s="4484"/>
      <c r="D19" s="4484"/>
      <c r="E19" s="4484"/>
      <c r="F19" s="4484"/>
      <c r="G19" s="4484"/>
      <c r="H19" s="4484"/>
    </row>
    <row r="20" spans="1:8" ht="13.5" customHeight="1"/>
    <row r="21" spans="1:8" ht="12" customHeight="1">
      <c r="A21" s="636" t="s">
        <v>3006</v>
      </c>
    </row>
    <row r="22" spans="1:8" ht="3" customHeight="1"/>
    <row r="23" spans="1:8" ht="24.75" customHeight="1">
      <c r="A23" s="4670" t="s">
        <v>4289</v>
      </c>
      <c r="B23" s="4670"/>
      <c r="C23" s="4670"/>
      <c r="D23" s="4670"/>
      <c r="E23" s="4670"/>
      <c r="F23" s="4670"/>
      <c r="G23" s="4670"/>
      <c r="H23" s="4670"/>
    </row>
    <row r="24" spans="1:8" ht="9" customHeight="1" thickBot="1">
      <c r="A24" s="702"/>
    </row>
    <row r="25" spans="1:8" ht="16.149999999999999" customHeight="1" thickBot="1">
      <c r="A25" s="4662">
        <v>20</v>
      </c>
      <c r="B25" s="4663"/>
      <c r="C25" s="1516" t="s">
        <v>1000</v>
      </c>
    </row>
    <row r="26" spans="1:8" ht="9" customHeight="1">
      <c r="A26" s="702"/>
    </row>
    <row r="27" spans="1:8" ht="28.15" customHeight="1">
      <c r="A27" s="4666" t="s">
        <v>4294</v>
      </c>
      <c r="B27" s="4666"/>
      <c r="C27" s="4666"/>
      <c r="D27" s="4666"/>
      <c r="E27" s="4666"/>
      <c r="F27" s="4666"/>
      <c r="G27" s="4666"/>
      <c r="H27" s="4666"/>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61" t="s">
        <v>3008</v>
      </c>
      <c r="G31" s="4661"/>
      <c r="H31" s="4661"/>
    </row>
    <row r="32" spans="1:8" ht="12.75" customHeight="1">
      <c r="C32" s="748" t="s">
        <v>1304</v>
      </c>
      <c r="D32" s="746" t="s">
        <v>1898</v>
      </c>
      <c r="E32" s="4661" t="s">
        <v>3105</v>
      </c>
      <c r="F32" s="4661"/>
      <c r="G32" s="4661"/>
      <c r="H32" s="4661"/>
    </row>
    <row r="33" spans="1:11" ht="12.75" customHeight="1">
      <c r="C33" s="1514" t="s">
        <v>4292</v>
      </c>
      <c r="E33" s="4661" t="s">
        <v>3243</v>
      </c>
      <c r="F33" s="4661"/>
      <c r="G33" s="4661"/>
      <c r="H33" s="4661"/>
    </row>
    <row r="34" spans="1:11" ht="12.75" customHeight="1">
      <c r="C34" s="1515"/>
      <c r="D34" s="1513" t="s">
        <v>3104</v>
      </c>
      <c r="E34" s="4664" t="s">
        <v>3244</v>
      </c>
      <c r="F34" s="4664"/>
      <c r="G34" s="4664"/>
      <c r="H34" s="4664"/>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1" t="s">
        <v>3105</v>
      </c>
      <c r="F37" s="4661"/>
      <c r="G37" s="4661"/>
      <c r="H37" s="4661"/>
    </row>
    <row r="38" spans="1:11" ht="12.75" customHeight="1">
      <c r="C38" s="1514" t="s">
        <v>4292</v>
      </c>
      <c r="E38" s="4661" t="s">
        <v>3243</v>
      </c>
      <c r="F38" s="4661"/>
      <c r="G38" s="4661"/>
      <c r="H38" s="4661"/>
    </row>
    <row r="39" spans="1:11" ht="12.75" customHeight="1">
      <c r="C39" s="1515"/>
      <c r="D39" s="1513" t="s">
        <v>3104</v>
      </c>
      <c r="E39" s="4664" t="s">
        <v>3244</v>
      </c>
      <c r="F39" s="4664"/>
      <c r="G39" s="4664"/>
      <c r="H39" s="4664"/>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1" t="s">
        <v>3105</v>
      </c>
      <c r="F42" s="4661"/>
      <c r="G42" s="4661"/>
      <c r="H42" s="4661"/>
    </row>
    <row r="43" spans="1:11" ht="12.75" customHeight="1">
      <c r="C43" s="1514" t="s">
        <v>4292</v>
      </c>
      <c r="E43" s="4661" t="s">
        <v>3243</v>
      </c>
      <c r="F43" s="4661"/>
      <c r="G43" s="4661"/>
      <c r="H43" s="4661"/>
    </row>
    <row r="44" spans="1:11" ht="12.75" customHeight="1">
      <c r="C44" s="1515"/>
      <c r="D44" s="1513" t="s">
        <v>3104</v>
      </c>
      <c r="E44" s="4664" t="s">
        <v>3244</v>
      </c>
      <c r="F44" s="4664"/>
      <c r="G44" s="4664"/>
      <c r="H44" s="4664"/>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1" t="s">
        <v>3105</v>
      </c>
      <c r="F49" s="4661"/>
      <c r="G49" s="4661"/>
      <c r="H49" s="4661"/>
      <c r="K49" s="1530"/>
    </row>
    <row r="50" spans="1:11" ht="12.75" customHeight="1">
      <c r="C50" s="1514" t="s">
        <v>4292</v>
      </c>
      <c r="E50" s="4661" t="s">
        <v>3243</v>
      </c>
      <c r="F50" s="4661"/>
      <c r="G50" s="4661"/>
      <c r="H50" s="4661"/>
    </row>
    <row r="51" spans="1:11" ht="12.75" customHeight="1">
      <c r="C51" s="1515"/>
      <c r="D51" s="1512" t="s">
        <v>3104</v>
      </c>
      <c r="E51" s="4665" t="s">
        <v>3244</v>
      </c>
      <c r="F51" s="4665"/>
      <c r="G51" s="4665"/>
      <c r="H51" s="4665"/>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1" t="s">
        <v>3105</v>
      </c>
      <c r="F54" s="4661"/>
      <c r="G54" s="4661"/>
      <c r="H54" s="4661"/>
    </row>
    <row r="55" spans="1:11" ht="12.75" customHeight="1">
      <c r="C55" s="1514" t="s">
        <v>4292</v>
      </c>
      <c r="E55" s="4661" t="s">
        <v>3243</v>
      </c>
      <c r="F55" s="4661"/>
      <c r="G55" s="4661"/>
      <c r="H55" s="4661"/>
    </row>
    <row r="56" spans="1:11" ht="12.75" customHeight="1">
      <c r="C56" s="1515"/>
      <c r="D56" s="1513" t="s">
        <v>3104</v>
      </c>
      <c r="E56" s="4664" t="s">
        <v>3244</v>
      </c>
      <c r="F56" s="4664"/>
      <c r="G56" s="4664"/>
      <c r="H56" s="4664"/>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1" t="s">
        <v>3105</v>
      </c>
      <c r="F59" s="4661"/>
      <c r="G59" s="4661"/>
      <c r="H59" s="4661"/>
    </row>
    <row r="60" spans="1:11" ht="12.75" customHeight="1">
      <c r="C60" s="1514" t="s">
        <v>4292</v>
      </c>
      <c r="E60" s="4661" t="s">
        <v>3243</v>
      </c>
      <c r="F60" s="4661"/>
      <c r="G60" s="4661"/>
      <c r="H60" s="4661"/>
    </row>
    <row r="61" spans="1:11" ht="12.75" customHeight="1">
      <c r="C61" s="1515"/>
      <c r="D61" s="1513" t="s">
        <v>3104</v>
      </c>
      <c r="E61" s="4664" t="s">
        <v>3244</v>
      </c>
      <c r="F61" s="4664"/>
      <c r="G61" s="4664"/>
      <c r="H61" s="4664"/>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1" t="s">
        <v>3105</v>
      </c>
      <c r="F66" s="4661"/>
      <c r="G66" s="4661"/>
      <c r="H66" s="4661"/>
    </row>
    <row r="67" spans="1:8" ht="12.75" customHeight="1">
      <c r="C67" s="1514" t="s">
        <v>4292</v>
      </c>
      <c r="E67" s="4661" t="s">
        <v>3243</v>
      </c>
      <c r="F67" s="4661"/>
      <c r="G67" s="4661"/>
      <c r="H67" s="4661"/>
    </row>
    <row r="68" spans="1:8" ht="12.75" customHeight="1">
      <c r="C68" s="1515"/>
      <c r="D68" s="1512" t="s">
        <v>3104</v>
      </c>
      <c r="E68" s="4665" t="s">
        <v>3244</v>
      </c>
      <c r="F68" s="4665"/>
      <c r="G68" s="4665"/>
      <c r="H68" s="4665"/>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1" t="s">
        <v>3105</v>
      </c>
      <c r="F71" s="4661"/>
      <c r="G71" s="4661"/>
      <c r="H71" s="4661"/>
    </row>
    <row r="72" spans="1:8" ht="12.75" customHeight="1">
      <c r="C72" s="1514" t="s">
        <v>4292</v>
      </c>
      <c r="E72" s="4661" t="s">
        <v>3243</v>
      </c>
      <c r="F72" s="4661"/>
      <c r="G72" s="4661"/>
      <c r="H72" s="4661"/>
    </row>
    <row r="73" spans="1:8" ht="12.75" customHeight="1">
      <c r="C73" s="1515"/>
      <c r="D73" s="1513" t="s">
        <v>3104</v>
      </c>
      <c r="E73" s="4664" t="s">
        <v>3244</v>
      </c>
      <c r="F73" s="4664"/>
      <c r="G73" s="4664"/>
      <c r="H73" s="4664"/>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1" t="s">
        <v>3105</v>
      </c>
      <c r="F76" s="4661"/>
      <c r="G76" s="4661"/>
      <c r="H76" s="4661"/>
    </row>
    <row r="77" spans="1:8" ht="12.75" customHeight="1">
      <c r="C77" s="1514" t="s">
        <v>4292</v>
      </c>
      <c r="E77" s="4661" t="s">
        <v>3243</v>
      </c>
      <c r="F77" s="4661"/>
      <c r="G77" s="4661"/>
      <c r="H77" s="4661"/>
    </row>
    <row r="78" spans="1:8" ht="12.75" customHeight="1">
      <c r="C78" s="1515"/>
      <c r="D78" s="1513" t="s">
        <v>3104</v>
      </c>
      <c r="E78" s="4664" t="s">
        <v>3244</v>
      </c>
      <c r="F78" s="4664"/>
      <c r="G78" s="4664"/>
      <c r="H78" s="4664"/>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1" t="s">
        <v>3105</v>
      </c>
      <c r="F83" s="4661"/>
      <c r="G83" s="4661"/>
      <c r="H83" s="4661"/>
    </row>
    <row r="84" spans="3:8" ht="12.75" customHeight="1">
      <c r="C84" s="1514" t="s">
        <v>4292</v>
      </c>
      <c r="E84" s="4661" t="s">
        <v>3243</v>
      </c>
      <c r="F84" s="4661"/>
      <c r="G84" s="4661"/>
      <c r="H84" s="4661"/>
    </row>
    <row r="85" spans="3:8" ht="12.75" customHeight="1">
      <c r="C85" s="1515"/>
      <c r="D85" s="1512" t="s">
        <v>3104</v>
      </c>
      <c r="E85" s="4665" t="s">
        <v>3244</v>
      </c>
      <c r="F85" s="4665"/>
      <c r="G85" s="4665"/>
      <c r="H85" s="4665"/>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1" t="s">
        <v>3105</v>
      </c>
      <c r="F88" s="4661"/>
      <c r="G88" s="4661"/>
      <c r="H88" s="4661"/>
    </row>
    <row r="89" spans="3:8" ht="12.75" customHeight="1">
      <c r="C89" s="1514" t="s">
        <v>4292</v>
      </c>
      <c r="E89" s="4661" t="s">
        <v>3243</v>
      </c>
      <c r="F89" s="4661"/>
      <c r="G89" s="4661"/>
      <c r="H89" s="4661"/>
    </row>
    <row r="90" spans="3:8" ht="12.75" customHeight="1">
      <c r="C90" s="1515"/>
      <c r="D90" s="1513" t="s">
        <v>3104</v>
      </c>
      <c r="E90" s="4664" t="s">
        <v>3244</v>
      </c>
      <c r="F90" s="4664"/>
      <c r="G90" s="4664"/>
      <c r="H90" s="4664"/>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1" t="s">
        <v>3105</v>
      </c>
      <c r="F93" s="4661"/>
      <c r="G93" s="4661"/>
      <c r="H93" s="4661"/>
    </row>
    <row r="94" spans="3:8" ht="12.75" customHeight="1">
      <c r="C94" s="1514" t="s">
        <v>4292</v>
      </c>
      <c r="E94" s="4661" t="s">
        <v>3243</v>
      </c>
      <c r="F94" s="4661"/>
      <c r="G94" s="4661"/>
      <c r="H94" s="4661"/>
    </row>
    <row r="95" spans="3:8" ht="12.75" customHeight="1">
      <c r="C95" s="1515"/>
      <c r="D95" s="1513" t="s">
        <v>3104</v>
      </c>
      <c r="E95" s="4664" t="s">
        <v>3244</v>
      </c>
      <c r="F95" s="4664"/>
      <c r="G95" s="4664"/>
      <c r="H95" s="4664"/>
    </row>
    <row r="96" spans="3:8" ht="6" customHeight="1">
      <c r="D96" s="746"/>
      <c r="E96" s="1511"/>
      <c r="F96" s="1511"/>
      <c r="G96" s="1511"/>
      <c r="H96" s="1511"/>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61" t="s">
        <v>3008</v>
      </c>
      <c r="G99" s="4661"/>
      <c r="H99" s="4661"/>
      <c r="K99" s="699" t="s">
        <v>232</v>
      </c>
    </row>
    <row r="100" spans="1:11" ht="12.75" customHeight="1">
      <c r="C100" s="748" t="s">
        <v>1304</v>
      </c>
      <c r="D100" s="746" t="s">
        <v>1898</v>
      </c>
      <c r="E100" s="4661" t="s">
        <v>3106</v>
      </c>
      <c r="F100" s="4661"/>
      <c r="G100" s="4661"/>
      <c r="H100" s="4661"/>
    </row>
    <row r="101" spans="1:11" ht="12.75" customHeight="1">
      <c r="E101" s="4661" t="s">
        <v>3243</v>
      </c>
      <c r="F101" s="4661"/>
      <c r="G101" s="4661"/>
      <c r="H101" s="4661"/>
    </row>
    <row r="102" spans="1:11" ht="12.75" customHeight="1">
      <c r="D102" s="749" t="s">
        <v>3104</v>
      </c>
      <c r="E102" s="4661" t="s">
        <v>3244</v>
      </c>
      <c r="F102" s="4661"/>
      <c r="G102" s="4661"/>
      <c r="H102" s="4661"/>
    </row>
    <row r="103" spans="1:11" ht="9" customHeight="1" thickBot="1"/>
    <row r="104" spans="1:11" ht="16.149999999999999" customHeight="1" thickBot="1">
      <c r="A104" s="4662">
        <v>30</v>
      </c>
      <c r="B104" s="4663"/>
      <c r="C104" s="1516" t="s">
        <v>1000</v>
      </c>
    </row>
    <row r="105" spans="1:11" ht="9" customHeight="1">
      <c r="A105" s="702"/>
    </row>
    <row r="106" spans="1:11" ht="28.15" customHeight="1">
      <c r="A106" s="4666" t="s">
        <v>4295</v>
      </c>
      <c r="B106" s="4666"/>
      <c r="C106" s="4666"/>
      <c r="D106" s="4666"/>
      <c r="E106" s="4666"/>
      <c r="F106" s="4666"/>
      <c r="G106" s="4666"/>
      <c r="H106" s="4666"/>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61" t="s">
        <v>3008</v>
      </c>
      <c r="G110" s="4661"/>
      <c r="H110" s="4661"/>
    </row>
    <row r="111" spans="1:11" ht="12.75" customHeight="1">
      <c r="C111" s="748" t="s">
        <v>1304</v>
      </c>
      <c r="D111" s="746" t="s">
        <v>1898</v>
      </c>
      <c r="E111" s="4661" t="s">
        <v>3105</v>
      </c>
      <c r="F111" s="4661"/>
      <c r="G111" s="4661"/>
      <c r="H111" s="4661"/>
    </row>
    <row r="112" spans="1:11" ht="12.75" customHeight="1">
      <c r="C112" s="1514" t="s">
        <v>4292</v>
      </c>
      <c r="E112" s="4661" t="s">
        <v>3243</v>
      </c>
      <c r="F112" s="4661"/>
      <c r="G112" s="4661"/>
      <c r="H112" s="4661"/>
    </row>
    <row r="113" spans="1:8" ht="12.75" customHeight="1">
      <c r="C113" s="1515"/>
      <c r="D113" s="1513" t="s">
        <v>3104</v>
      </c>
      <c r="E113" s="4664" t="s">
        <v>3244</v>
      </c>
      <c r="F113" s="4664"/>
      <c r="G113" s="4664"/>
      <c r="H113" s="4664"/>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1" t="s">
        <v>3105</v>
      </c>
      <c r="F116" s="4661"/>
      <c r="G116" s="4661"/>
      <c r="H116" s="4661"/>
    </row>
    <row r="117" spans="1:8" ht="12.75" customHeight="1">
      <c r="C117" s="1514" t="s">
        <v>4292</v>
      </c>
      <c r="E117" s="4661" t="s">
        <v>3243</v>
      </c>
      <c r="F117" s="4661"/>
      <c r="G117" s="4661"/>
      <c r="H117" s="4661"/>
    </row>
    <row r="118" spans="1:8" ht="12.75" customHeight="1">
      <c r="C118" s="1515"/>
      <c r="D118" s="1513" t="s">
        <v>3104</v>
      </c>
      <c r="E118" s="4664" t="s">
        <v>3244</v>
      </c>
      <c r="F118" s="4664"/>
      <c r="G118" s="4664"/>
      <c r="H118" s="4664"/>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1" t="s">
        <v>3105</v>
      </c>
      <c r="F121" s="4661"/>
      <c r="G121" s="4661"/>
      <c r="H121" s="4661"/>
    </row>
    <row r="122" spans="1:8" ht="12.75" customHeight="1">
      <c r="C122" s="1514" t="s">
        <v>4292</v>
      </c>
      <c r="E122" s="4661" t="s">
        <v>3243</v>
      </c>
      <c r="F122" s="4661"/>
      <c r="G122" s="4661"/>
      <c r="H122" s="4661"/>
    </row>
    <row r="123" spans="1:8" ht="12.75" customHeight="1">
      <c r="C123" s="1515"/>
      <c r="D123" s="1513" t="s">
        <v>3104</v>
      </c>
      <c r="E123" s="4664" t="s">
        <v>3244</v>
      </c>
      <c r="F123" s="4664"/>
      <c r="G123" s="4664"/>
      <c r="H123" s="4664"/>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1" t="s">
        <v>3105</v>
      </c>
      <c r="F128" s="4661"/>
      <c r="G128" s="4661"/>
      <c r="H128" s="4661"/>
    </row>
    <row r="129" spans="1:8" ht="12.75" customHeight="1">
      <c r="C129" s="1514" t="s">
        <v>4292</v>
      </c>
      <c r="E129" s="4661" t="s">
        <v>3243</v>
      </c>
      <c r="F129" s="4661"/>
      <c r="G129" s="4661"/>
      <c r="H129" s="4661"/>
    </row>
    <row r="130" spans="1:8" ht="12.75" customHeight="1">
      <c r="C130" s="1515"/>
      <c r="D130" s="1512" t="s">
        <v>3104</v>
      </c>
      <c r="E130" s="4665" t="s">
        <v>3244</v>
      </c>
      <c r="F130" s="4665"/>
      <c r="G130" s="4665"/>
      <c r="H130" s="4665"/>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1" t="s">
        <v>3105</v>
      </c>
      <c r="F133" s="4661"/>
      <c r="G133" s="4661"/>
      <c r="H133" s="4661"/>
    </row>
    <row r="134" spans="1:8" ht="12.75" customHeight="1">
      <c r="C134" s="1514" t="s">
        <v>4292</v>
      </c>
      <c r="E134" s="4661" t="s">
        <v>3243</v>
      </c>
      <c r="F134" s="4661"/>
      <c r="G134" s="4661"/>
      <c r="H134" s="4661"/>
    </row>
    <row r="135" spans="1:8" ht="12.75" customHeight="1">
      <c r="C135" s="1515"/>
      <c r="D135" s="1513" t="s">
        <v>3104</v>
      </c>
      <c r="E135" s="4664" t="s">
        <v>3244</v>
      </c>
      <c r="F135" s="4664"/>
      <c r="G135" s="4664"/>
      <c r="H135" s="4664"/>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1" t="s">
        <v>3105</v>
      </c>
      <c r="F138" s="4661"/>
      <c r="G138" s="4661"/>
      <c r="H138" s="4661"/>
    </row>
    <row r="139" spans="1:8" ht="12.75" customHeight="1">
      <c r="C139" s="1514" t="s">
        <v>4292</v>
      </c>
      <c r="E139" s="4661" t="s">
        <v>3243</v>
      </c>
      <c r="F139" s="4661"/>
      <c r="G139" s="4661"/>
      <c r="H139" s="4661"/>
    </row>
    <row r="140" spans="1:8" ht="12.75" customHeight="1">
      <c r="C140" s="1515"/>
      <c r="D140" s="1513" t="s">
        <v>3104</v>
      </c>
      <c r="E140" s="4664" t="s">
        <v>3244</v>
      </c>
      <c r="F140" s="4664"/>
      <c r="G140" s="4664"/>
      <c r="H140" s="4664"/>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1" t="s">
        <v>3105</v>
      </c>
      <c r="F145" s="4661"/>
      <c r="G145" s="4661"/>
      <c r="H145" s="4661"/>
    </row>
    <row r="146" spans="1:8" ht="12.75" customHeight="1">
      <c r="C146" s="1514" t="s">
        <v>4292</v>
      </c>
      <c r="E146" s="4661" t="s">
        <v>3243</v>
      </c>
      <c r="F146" s="4661"/>
      <c r="G146" s="4661"/>
      <c r="H146" s="4661"/>
    </row>
    <row r="147" spans="1:8" ht="12.75" customHeight="1">
      <c r="C147" s="1515"/>
      <c r="D147" s="1512" t="s">
        <v>3104</v>
      </c>
      <c r="E147" s="4665" t="s">
        <v>3244</v>
      </c>
      <c r="F147" s="4665"/>
      <c r="G147" s="4665"/>
      <c r="H147" s="4665"/>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1" t="s">
        <v>3105</v>
      </c>
      <c r="F150" s="4661"/>
      <c r="G150" s="4661"/>
      <c r="H150" s="4661"/>
    </row>
    <row r="151" spans="1:8" ht="12.75" customHeight="1">
      <c r="C151" s="1514" t="s">
        <v>4292</v>
      </c>
      <c r="E151" s="4661" t="s">
        <v>3243</v>
      </c>
      <c r="F151" s="4661"/>
      <c r="G151" s="4661"/>
      <c r="H151" s="4661"/>
    </row>
    <row r="152" spans="1:8" ht="12.75" customHeight="1">
      <c r="C152" s="1515"/>
      <c r="D152" s="1513" t="s">
        <v>3104</v>
      </c>
      <c r="E152" s="4664" t="s">
        <v>3244</v>
      </c>
      <c r="F152" s="4664"/>
      <c r="G152" s="4664"/>
      <c r="H152" s="4664"/>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1" t="s">
        <v>3105</v>
      </c>
      <c r="F155" s="4661"/>
      <c r="G155" s="4661"/>
      <c r="H155" s="4661"/>
    </row>
    <row r="156" spans="1:8" ht="12.75" customHeight="1">
      <c r="C156" s="1514" t="s">
        <v>4292</v>
      </c>
      <c r="E156" s="4661" t="s">
        <v>3243</v>
      </c>
      <c r="F156" s="4661"/>
      <c r="G156" s="4661"/>
      <c r="H156" s="4661"/>
    </row>
    <row r="157" spans="1:8" ht="12.75" customHeight="1">
      <c r="C157" s="1515"/>
      <c r="D157" s="1513" t="s">
        <v>3104</v>
      </c>
      <c r="E157" s="4664" t="s">
        <v>3244</v>
      </c>
      <c r="F157" s="4664"/>
      <c r="G157" s="4664"/>
      <c r="H157" s="4664"/>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1" t="s">
        <v>3105</v>
      </c>
      <c r="F162" s="4661"/>
      <c r="G162" s="4661"/>
      <c r="H162" s="4661"/>
    </row>
    <row r="163" spans="1:8" ht="12.75" customHeight="1">
      <c r="C163" s="1514" t="s">
        <v>4292</v>
      </c>
      <c r="E163" s="4661" t="s">
        <v>3243</v>
      </c>
      <c r="F163" s="4661"/>
      <c r="G163" s="4661"/>
      <c r="H163" s="4661"/>
    </row>
    <row r="164" spans="1:8" ht="12.75" customHeight="1">
      <c r="C164" s="1515"/>
      <c r="D164" s="1512" t="s">
        <v>3104</v>
      </c>
      <c r="E164" s="4665" t="s">
        <v>3244</v>
      </c>
      <c r="F164" s="4665"/>
      <c r="G164" s="4665"/>
      <c r="H164" s="4665"/>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1" t="s">
        <v>3105</v>
      </c>
      <c r="F167" s="4661"/>
      <c r="G167" s="4661"/>
      <c r="H167" s="4661"/>
    </row>
    <row r="168" spans="1:8" ht="12.75" customHeight="1">
      <c r="C168" s="1514" t="s">
        <v>4292</v>
      </c>
      <c r="E168" s="4661" t="s">
        <v>3243</v>
      </c>
      <c r="F168" s="4661"/>
      <c r="G168" s="4661"/>
      <c r="H168" s="4661"/>
    </row>
    <row r="169" spans="1:8" ht="12.75" customHeight="1">
      <c r="C169" s="1515"/>
      <c r="D169" s="1513" t="s">
        <v>3104</v>
      </c>
      <c r="E169" s="4664" t="s">
        <v>3244</v>
      </c>
      <c r="F169" s="4664"/>
      <c r="G169" s="4664"/>
      <c r="H169" s="4664"/>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1" t="s">
        <v>3105</v>
      </c>
      <c r="F172" s="4661"/>
      <c r="G172" s="4661"/>
      <c r="H172" s="4661"/>
    </row>
    <row r="173" spans="1:8" ht="12.75" customHeight="1">
      <c r="C173" s="1514" t="s">
        <v>4292</v>
      </c>
      <c r="E173" s="4661" t="s">
        <v>3243</v>
      </c>
      <c r="F173" s="4661"/>
      <c r="G173" s="4661"/>
      <c r="H173" s="4661"/>
    </row>
    <row r="174" spans="1:8" ht="12.75" customHeight="1">
      <c r="C174" s="1515"/>
      <c r="D174" s="1513" t="s">
        <v>3104</v>
      </c>
      <c r="E174" s="4664" t="s">
        <v>3244</v>
      </c>
      <c r="F174" s="4664"/>
      <c r="G174" s="4664"/>
      <c r="H174" s="4664"/>
    </row>
    <row r="175" spans="1:8" ht="6" customHeight="1">
      <c r="D175" s="746"/>
      <c r="E175" s="1511"/>
      <c r="F175" s="1511"/>
      <c r="G175" s="1511"/>
      <c r="H175" s="1511"/>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61" t="s">
        <v>3008</v>
      </c>
      <c r="G178" s="4661"/>
      <c r="H178" s="4661"/>
      <c r="K178" s="699" t="s">
        <v>232</v>
      </c>
    </row>
    <row r="179" spans="1:11" ht="12.75" customHeight="1">
      <c r="C179" s="748" t="s">
        <v>1304</v>
      </c>
      <c r="D179" s="746" t="s">
        <v>1898</v>
      </c>
      <c r="E179" s="4661" t="s">
        <v>3106</v>
      </c>
      <c r="F179" s="4661"/>
      <c r="G179" s="4661"/>
      <c r="H179" s="4661"/>
    </row>
    <row r="180" spans="1:11" ht="12.75" customHeight="1">
      <c r="E180" s="4661" t="s">
        <v>3243</v>
      </c>
      <c r="F180" s="4661"/>
      <c r="G180" s="4661"/>
      <c r="H180" s="4661"/>
    </row>
    <row r="181" spans="1:11" ht="12.75" customHeight="1">
      <c r="D181" s="749" t="s">
        <v>3104</v>
      </c>
      <c r="E181" s="4661" t="s">
        <v>3244</v>
      </c>
      <c r="F181" s="4661"/>
      <c r="G181" s="4661"/>
      <c r="H181" s="4661"/>
    </row>
    <row r="182" spans="1:11" ht="9" customHeight="1" thickBot="1"/>
    <row r="183" spans="1:11" ht="16.149999999999999" customHeight="1" thickBot="1">
      <c r="A183" s="4662">
        <v>40</v>
      </c>
      <c r="B183" s="4663"/>
      <c r="C183" s="1516" t="s">
        <v>1000</v>
      </c>
    </row>
    <row r="184" spans="1:11" ht="9" customHeight="1">
      <c r="A184" s="702"/>
    </row>
    <row r="185" spans="1:11" ht="28.15" customHeight="1">
      <c r="A185" s="4666" t="s">
        <v>4296</v>
      </c>
      <c r="B185" s="4666"/>
      <c r="C185" s="4666"/>
      <c r="D185" s="4666"/>
      <c r="E185" s="4666"/>
      <c r="F185" s="4666"/>
      <c r="G185" s="4666"/>
      <c r="H185" s="4666"/>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61" t="s">
        <v>3008</v>
      </c>
      <c r="G189" s="4661"/>
      <c r="H189" s="4661"/>
    </row>
    <row r="190" spans="1:11" ht="12.75" customHeight="1">
      <c r="C190" s="748" t="s">
        <v>1304</v>
      </c>
      <c r="D190" s="746" t="s">
        <v>1898</v>
      </c>
      <c r="E190" s="4661" t="s">
        <v>3105</v>
      </c>
      <c r="F190" s="4661"/>
      <c r="G190" s="4661"/>
      <c r="H190" s="4661"/>
    </row>
    <row r="191" spans="1:11" ht="12.75" customHeight="1">
      <c r="C191" s="1514" t="s">
        <v>4292</v>
      </c>
      <c r="E191" s="4661" t="s">
        <v>3243</v>
      </c>
      <c r="F191" s="4661"/>
      <c r="G191" s="4661"/>
      <c r="H191" s="4661"/>
    </row>
    <row r="192" spans="1:11" ht="12.75" customHeight="1">
      <c r="C192" s="1515"/>
      <c r="D192" s="1513" t="s">
        <v>3104</v>
      </c>
      <c r="E192" s="4664" t="s">
        <v>3244</v>
      </c>
      <c r="F192" s="4664"/>
      <c r="G192" s="4664"/>
      <c r="H192" s="4664"/>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1" t="s">
        <v>3105</v>
      </c>
      <c r="F195" s="4661"/>
      <c r="G195" s="4661"/>
      <c r="H195" s="4661"/>
    </row>
    <row r="196" spans="1:8" ht="12.75" customHeight="1">
      <c r="C196" s="1514" t="s">
        <v>4292</v>
      </c>
      <c r="E196" s="4661" t="s">
        <v>3243</v>
      </c>
      <c r="F196" s="4661"/>
      <c r="G196" s="4661"/>
      <c r="H196" s="4661"/>
    </row>
    <row r="197" spans="1:8" ht="12.75" customHeight="1">
      <c r="C197" s="1515"/>
      <c r="D197" s="1513" t="s">
        <v>3104</v>
      </c>
      <c r="E197" s="4664" t="s">
        <v>3244</v>
      </c>
      <c r="F197" s="4664"/>
      <c r="G197" s="4664"/>
      <c r="H197" s="4664"/>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1" t="s">
        <v>3105</v>
      </c>
      <c r="F200" s="4661"/>
      <c r="G200" s="4661"/>
      <c r="H200" s="4661"/>
    </row>
    <row r="201" spans="1:8" ht="12.75" customHeight="1">
      <c r="C201" s="1514" t="s">
        <v>4292</v>
      </c>
      <c r="E201" s="4661" t="s">
        <v>3243</v>
      </c>
      <c r="F201" s="4661"/>
      <c r="G201" s="4661"/>
      <c r="H201" s="4661"/>
    </row>
    <row r="202" spans="1:8" ht="12.75" customHeight="1">
      <c r="C202" s="1515"/>
      <c r="D202" s="1513" t="s">
        <v>3104</v>
      </c>
      <c r="E202" s="4664" t="s">
        <v>3244</v>
      </c>
      <c r="F202" s="4664"/>
      <c r="G202" s="4664"/>
      <c r="H202" s="4664"/>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1" t="s">
        <v>3105</v>
      </c>
      <c r="F207" s="4661"/>
      <c r="G207" s="4661"/>
      <c r="H207" s="4661"/>
    </row>
    <row r="208" spans="1:8" ht="12.75" customHeight="1">
      <c r="C208" s="1514" t="s">
        <v>4292</v>
      </c>
      <c r="E208" s="4661" t="s">
        <v>3243</v>
      </c>
      <c r="F208" s="4661"/>
      <c r="G208" s="4661"/>
      <c r="H208" s="4661"/>
    </row>
    <row r="209" spans="1:8" ht="12.75" customHeight="1">
      <c r="C209" s="1515"/>
      <c r="D209" s="1512" t="s">
        <v>3104</v>
      </c>
      <c r="E209" s="4665" t="s">
        <v>3244</v>
      </c>
      <c r="F209" s="4665"/>
      <c r="G209" s="4665"/>
      <c r="H209" s="4665"/>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1" t="s">
        <v>3105</v>
      </c>
      <c r="F212" s="4661"/>
      <c r="G212" s="4661"/>
      <c r="H212" s="4661"/>
    </row>
    <row r="213" spans="1:8" ht="12.75" customHeight="1">
      <c r="C213" s="1514" t="s">
        <v>4292</v>
      </c>
      <c r="E213" s="4661" t="s">
        <v>3243</v>
      </c>
      <c r="F213" s="4661"/>
      <c r="G213" s="4661"/>
      <c r="H213" s="4661"/>
    </row>
    <row r="214" spans="1:8" ht="12.75" customHeight="1">
      <c r="C214" s="1515"/>
      <c r="D214" s="1513" t="s">
        <v>3104</v>
      </c>
      <c r="E214" s="4664" t="s">
        <v>3244</v>
      </c>
      <c r="F214" s="4664"/>
      <c r="G214" s="4664"/>
      <c r="H214" s="4664"/>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1" t="s">
        <v>3105</v>
      </c>
      <c r="F217" s="4661"/>
      <c r="G217" s="4661"/>
      <c r="H217" s="4661"/>
    </row>
    <row r="218" spans="1:8" ht="12.75" customHeight="1">
      <c r="C218" s="1514" t="s">
        <v>4292</v>
      </c>
      <c r="E218" s="4661" t="s">
        <v>3243</v>
      </c>
      <c r="F218" s="4661"/>
      <c r="G218" s="4661"/>
      <c r="H218" s="4661"/>
    </row>
    <row r="219" spans="1:8" ht="12.75" customHeight="1">
      <c r="C219" s="1515"/>
      <c r="D219" s="1513" t="s">
        <v>3104</v>
      </c>
      <c r="E219" s="4664" t="s">
        <v>3244</v>
      </c>
      <c r="F219" s="4664"/>
      <c r="G219" s="4664"/>
      <c r="H219" s="4664"/>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1" t="s">
        <v>3105</v>
      </c>
      <c r="F224" s="4661"/>
      <c r="G224" s="4661"/>
      <c r="H224" s="4661"/>
    </row>
    <row r="225" spans="1:8" ht="12.75" customHeight="1">
      <c r="C225" s="1514" t="s">
        <v>4292</v>
      </c>
      <c r="E225" s="4661" t="s">
        <v>3243</v>
      </c>
      <c r="F225" s="4661"/>
      <c r="G225" s="4661"/>
      <c r="H225" s="4661"/>
    </row>
    <row r="226" spans="1:8" ht="12.75" customHeight="1">
      <c r="C226" s="1515"/>
      <c r="D226" s="1512" t="s">
        <v>3104</v>
      </c>
      <c r="E226" s="4665" t="s">
        <v>3244</v>
      </c>
      <c r="F226" s="4665"/>
      <c r="G226" s="4665"/>
      <c r="H226" s="4665"/>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1" t="s">
        <v>3105</v>
      </c>
      <c r="F229" s="4661"/>
      <c r="G229" s="4661"/>
      <c r="H229" s="4661"/>
    </row>
    <row r="230" spans="1:8" ht="12.75" customHeight="1">
      <c r="C230" s="1514" t="s">
        <v>4292</v>
      </c>
      <c r="E230" s="4661" t="s">
        <v>3243</v>
      </c>
      <c r="F230" s="4661"/>
      <c r="G230" s="4661"/>
      <c r="H230" s="4661"/>
    </row>
    <row r="231" spans="1:8" ht="12.75" customHeight="1">
      <c r="C231" s="1515"/>
      <c r="D231" s="1513" t="s">
        <v>3104</v>
      </c>
      <c r="E231" s="4664" t="s">
        <v>3244</v>
      </c>
      <c r="F231" s="4664"/>
      <c r="G231" s="4664"/>
      <c r="H231" s="4664"/>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1" t="s">
        <v>3105</v>
      </c>
      <c r="F234" s="4661"/>
      <c r="G234" s="4661"/>
      <c r="H234" s="4661"/>
    </row>
    <row r="235" spans="1:8" ht="12.75" customHeight="1">
      <c r="C235" s="1514" t="s">
        <v>4292</v>
      </c>
      <c r="E235" s="4661" t="s">
        <v>3243</v>
      </c>
      <c r="F235" s="4661"/>
      <c r="G235" s="4661"/>
      <c r="H235" s="4661"/>
    </row>
    <row r="236" spans="1:8" ht="12.75" customHeight="1">
      <c r="C236" s="1515"/>
      <c r="D236" s="1513" t="s">
        <v>3104</v>
      </c>
      <c r="E236" s="4664" t="s">
        <v>3244</v>
      </c>
      <c r="F236" s="4664"/>
      <c r="G236" s="4664"/>
      <c r="H236" s="4664"/>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1" t="s">
        <v>3105</v>
      </c>
      <c r="F241" s="4661"/>
      <c r="G241" s="4661"/>
      <c r="H241" s="4661"/>
    </row>
    <row r="242" spans="1:8" ht="12.75" customHeight="1">
      <c r="C242" s="1514" t="s">
        <v>4292</v>
      </c>
      <c r="E242" s="4661" t="s">
        <v>3243</v>
      </c>
      <c r="F242" s="4661"/>
      <c r="G242" s="4661"/>
      <c r="H242" s="4661"/>
    </row>
    <row r="243" spans="1:8" ht="12.75" customHeight="1">
      <c r="C243" s="1515"/>
      <c r="D243" s="1512" t="s">
        <v>3104</v>
      </c>
      <c r="E243" s="4665" t="s">
        <v>3244</v>
      </c>
      <c r="F243" s="4665"/>
      <c r="G243" s="4665"/>
      <c r="H243" s="4665"/>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1" t="s">
        <v>3105</v>
      </c>
      <c r="F246" s="4661"/>
      <c r="G246" s="4661"/>
      <c r="H246" s="4661"/>
    </row>
    <row r="247" spans="1:8" ht="12.75" customHeight="1">
      <c r="C247" s="1514" t="s">
        <v>4292</v>
      </c>
      <c r="E247" s="4661" t="s">
        <v>3243</v>
      </c>
      <c r="F247" s="4661"/>
      <c r="G247" s="4661"/>
      <c r="H247" s="4661"/>
    </row>
    <row r="248" spans="1:8" ht="12.75" customHeight="1">
      <c r="C248" s="1515"/>
      <c r="D248" s="1513" t="s">
        <v>3104</v>
      </c>
      <c r="E248" s="4664" t="s">
        <v>3244</v>
      </c>
      <c r="F248" s="4664"/>
      <c r="G248" s="4664"/>
      <c r="H248" s="4664"/>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1" t="s">
        <v>3105</v>
      </c>
      <c r="F251" s="4661"/>
      <c r="G251" s="4661"/>
      <c r="H251" s="4661"/>
    </row>
    <row r="252" spans="1:8" ht="12.75" customHeight="1">
      <c r="C252" s="1514" t="s">
        <v>4292</v>
      </c>
      <c r="E252" s="4661" t="s">
        <v>3243</v>
      </c>
      <c r="F252" s="4661"/>
      <c r="G252" s="4661"/>
      <c r="H252" s="4661"/>
    </row>
    <row r="253" spans="1:8" ht="12.75" customHeight="1">
      <c r="C253" s="1515"/>
      <c r="D253" s="1513" t="s">
        <v>3104</v>
      </c>
      <c r="E253" s="4664" t="s">
        <v>3244</v>
      </c>
      <c r="F253" s="4664"/>
      <c r="G253" s="4664"/>
      <c r="H253" s="4664"/>
    </row>
    <row r="254" spans="1:8" ht="6" customHeight="1">
      <c r="D254" s="746"/>
      <c r="E254" s="1511"/>
      <c r="F254" s="1511"/>
      <c r="G254" s="1511"/>
      <c r="H254" s="1511"/>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61" t="s">
        <v>3008</v>
      </c>
      <c r="G257" s="4661"/>
      <c r="H257" s="4661"/>
      <c r="K257" s="699" t="s">
        <v>232</v>
      </c>
    </row>
    <row r="258" spans="1:11" ht="12.75" customHeight="1">
      <c r="C258" s="748" t="s">
        <v>1304</v>
      </c>
      <c r="D258" s="746" t="s">
        <v>1898</v>
      </c>
      <c r="E258" s="4661" t="s">
        <v>3106</v>
      </c>
      <c r="F258" s="4661"/>
      <c r="G258" s="4661"/>
      <c r="H258" s="4661"/>
    </row>
    <row r="259" spans="1:11" ht="12.75" customHeight="1">
      <c r="E259" s="4661" t="s">
        <v>3243</v>
      </c>
      <c r="F259" s="4661"/>
      <c r="G259" s="4661"/>
      <c r="H259" s="4661"/>
    </row>
    <row r="260" spans="1:11" ht="12.75" customHeight="1">
      <c r="D260" s="749" t="s">
        <v>3104</v>
      </c>
      <c r="E260" s="4661" t="s">
        <v>3244</v>
      </c>
      <c r="F260" s="4661"/>
      <c r="G260" s="4661"/>
      <c r="H260" s="4661"/>
    </row>
    <row r="261" spans="1:11" ht="9" customHeight="1" thickBot="1"/>
    <row r="262" spans="1:11" ht="16.149999999999999" customHeight="1" thickBot="1">
      <c r="A262" s="4662">
        <v>50</v>
      </c>
      <c r="B262" s="4663"/>
      <c r="C262" s="1516" t="s">
        <v>1000</v>
      </c>
    </row>
    <row r="263" spans="1:11" ht="9" customHeight="1">
      <c r="A263" s="702"/>
    </row>
    <row r="264" spans="1:11" ht="28.15" customHeight="1">
      <c r="A264" s="4666" t="s">
        <v>4293</v>
      </c>
      <c r="B264" s="4666"/>
      <c r="C264" s="4666"/>
      <c r="D264" s="4666"/>
      <c r="E264" s="4666"/>
      <c r="F264" s="4666"/>
      <c r="G264" s="4666"/>
      <c r="H264" s="4666"/>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61" t="s">
        <v>3008</v>
      </c>
      <c r="G268" s="4661"/>
      <c r="H268" s="4661"/>
    </row>
    <row r="269" spans="1:11" ht="12.75" customHeight="1">
      <c r="C269" s="748" t="s">
        <v>1304</v>
      </c>
      <c r="D269" s="746" t="s">
        <v>1898</v>
      </c>
      <c r="E269" s="4661" t="s">
        <v>3105</v>
      </c>
      <c r="F269" s="4661"/>
      <c r="G269" s="4661"/>
      <c r="H269" s="4661"/>
    </row>
    <row r="270" spans="1:11" ht="12.75" customHeight="1">
      <c r="C270" s="1514" t="s">
        <v>4292</v>
      </c>
      <c r="E270" s="4661" t="s">
        <v>3243</v>
      </c>
      <c r="F270" s="4661"/>
      <c r="G270" s="4661"/>
      <c r="H270" s="4661"/>
    </row>
    <row r="271" spans="1:11" ht="12.75" customHeight="1">
      <c r="C271" s="1515"/>
      <c r="D271" s="1513" t="s">
        <v>3104</v>
      </c>
      <c r="E271" s="4664" t="s">
        <v>3244</v>
      </c>
      <c r="F271" s="4664"/>
      <c r="G271" s="4664"/>
      <c r="H271" s="4664"/>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1" t="s">
        <v>3105</v>
      </c>
      <c r="F274" s="4661"/>
      <c r="G274" s="4661"/>
      <c r="H274" s="4661"/>
    </row>
    <row r="275" spans="1:8" ht="12.75" customHeight="1">
      <c r="C275" s="1514" t="s">
        <v>4292</v>
      </c>
      <c r="E275" s="4661" t="s">
        <v>3243</v>
      </c>
      <c r="F275" s="4661"/>
      <c r="G275" s="4661"/>
      <c r="H275" s="4661"/>
    </row>
    <row r="276" spans="1:8" ht="12.75" customHeight="1">
      <c r="C276" s="1515"/>
      <c r="D276" s="1513" t="s">
        <v>3104</v>
      </c>
      <c r="E276" s="4664" t="s">
        <v>3244</v>
      </c>
      <c r="F276" s="4664"/>
      <c r="G276" s="4664"/>
      <c r="H276" s="4664"/>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1" t="s">
        <v>3105</v>
      </c>
      <c r="F279" s="4661"/>
      <c r="G279" s="4661"/>
      <c r="H279" s="4661"/>
    </row>
    <row r="280" spans="1:8" ht="12.75" customHeight="1">
      <c r="C280" s="1514" t="s">
        <v>4292</v>
      </c>
      <c r="E280" s="4661" t="s">
        <v>3243</v>
      </c>
      <c r="F280" s="4661"/>
      <c r="G280" s="4661"/>
      <c r="H280" s="4661"/>
    </row>
    <row r="281" spans="1:8" ht="12.75" customHeight="1">
      <c r="C281" s="1515"/>
      <c r="D281" s="1513" t="s">
        <v>3104</v>
      </c>
      <c r="E281" s="4664" t="s">
        <v>3244</v>
      </c>
      <c r="F281" s="4664"/>
      <c r="G281" s="4664"/>
      <c r="H281" s="4664"/>
    </row>
    <row r="282" spans="1:8" ht="6" customHeight="1">
      <c r="D282" s="746"/>
      <c r="E282" s="1511"/>
      <c r="F282" s="1511"/>
      <c r="G282" s="1511"/>
      <c r="H282" s="1511"/>
    </row>
    <row r="283" spans="1:8">
      <c r="A283" s="717" t="s">
        <v>3100</v>
      </c>
      <c r="B283" s="744">
        <f>IF('Part VI-Revenues &amp; Expenses'!$L$59=0,"",'Part VI-Revenues &amp; Expenses'!$L$59)</f>
        <v>3</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1" t="s">
        <v>3105</v>
      </c>
      <c r="F286" s="4661"/>
      <c r="G286" s="4661"/>
      <c r="H286" s="4661"/>
    </row>
    <row r="287" spans="1:8" ht="12.75" customHeight="1">
      <c r="C287" s="1514" t="s">
        <v>4292</v>
      </c>
      <c r="E287" s="4661" t="s">
        <v>3243</v>
      </c>
      <c r="F287" s="4661"/>
      <c r="G287" s="4661"/>
      <c r="H287" s="4661"/>
    </row>
    <row r="288" spans="1:8" ht="12.75" customHeight="1">
      <c r="C288" s="1515"/>
      <c r="D288" s="1512" t="s">
        <v>3104</v>
      </c>
      <c r="E288" s="4665" t="s">
        <v>3244</v>
      </c>
      <c r="F288" s="4665"/>
      <c r="G288" s="4665"/>
      <c r="H288" s="4665"/>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1" t="s">
        <v>3105</v>
      </c>
      <c r="F291" s="4661"/>
      <c r="G291" s="4661"/>
      <c r="H291" s="4661"/>
    </row>
    <row r="292" spans="1:8" ht="12.75" customHeight="1">
      <c r="C292" s="1514" t="s">
        <v>4292</v>
      </c>
      <c r="E292" s="4661" t="s">
        <v>3243</v>
      </c>
      <c r="F292" s="4661"/>
      <c r="G292" s="4661"/>
      <c r="H292" s="4661"/>
    </row>
    <row r="293" spans="1:8" ht="12.75" customHeight="1">
      <c r="C293" s="1515"/>
      <c r="D293" s="1513" t="s">
        <v>3104</v>
      </c>
      <c r="E293" s="4664" t="s">
        <v>3244</v>
      </c>
      <c r="F293" s="4664"/>
      <c r="G293" s="4664"/>
      <c r="H293" s="4664"/>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1" t="s">
        <v>3105</v>
      </c>
      <c r="F296" s="4661"/>
      <c r="G296" s="4661"/>
      <c r="H296" s="4661"/>
    </row>
    <row r="297" spans="1:8" ht="12.75" customHeight="1">
      <c r="C297" s="1514" t="s">
        <v>4292</v>
      </c>
      <c r="E297" s="4661" t="s">
        <v>3243</v>
      </c>
      <c r="F297" s="4661"/>
      <c r="G297" s="4661"/>
      <c r="H297" s="4661"/>
    </row>
    <row r="298" spans="1:8" ht="12.75" customHeight="1">
      <c r="C298" s="1515"/>
      <c r="D298" s="1513" t="s">
        <v>3104</v>
      </c>
      <c r="E298" s="4664" t="s">
        <v>3244</v>
      </c>
      <c r="F298" s="4664"/>
      <c r="G298" s="4664"/>
      <c r="H298" s="4664"/>
    </row>
    <row r="299" spans="1:8" ht="6" customHeight="1">
      <c r="D299" s="746"/>
      <c r="E299" s="1511"/>
      <c r="F299" s="1511"/>
      <c r="G299" s="1511"/>
      <c r="H299" s="1511"/>
    </row>
    <row r="300" spans="1:8">
      <c r="A300" s="717" t="s">
        <v>3100</v>
      </c>
      <c r="B300" s="744">
        <f>IF('Part VI-Revenues &amp; Expenses'!$M$59=0,"",'Part VI-Revenues &amp; Expenses'!$M$59)</f>
        <v>12</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1" t="s">
        <v>3105</v>
      </c>
      <c r="F303" s="4661"/>
      <c r="G303" s="4661"/>
      <c r="H303" s="4661"/>
    </row>
    <row r="304" spans="1:8" ht="12.75" customHeight="1">
      <c r="C304" s="1514" t="s">
        <v>4292</v>
      </c>
      <c r="E304" s="4661" t="s">
        <v>3243</v>
      </c>
      <c r="F304" s="4661"/>
      <c r="G304" s="4661"/>
      <c r="H304" s="4661"/>
    </row>
    <row r="305" spans="1:8" ht="12.75" customHeight="1">
      <c r="C305" s="1515"/>
      <c r="D305" s="1512" t="s">
        <v>3104</v>
      </c>
      <c r="E305" s="4665" t="s">
        <v>3244</v>
      </c>
      <c r="F305" s="4665"/>
      <c r="G305" s="4665"/>
      <c r="H305" s="4665"/>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1" t="s">
        <v>3105</v>
      </c>
      <c r="F308" s="4661"/>
      <c r="G308" s="4661"/>
      <c r="H308" s="4661"/>
    </row>
    <row r="309" spans="1:8" ht="12.75" customHeight="1">
      <c r="C309" s="1514" t="s">
        <v>4292</v>
      </c>
      <c r="E309" s="4661" t="s">
        <v>3243</v>
      </c>
      <c r="F309" s="4661"/>
      <c r="G309" s="4661"/>
      <c r="H309" s="4661"/>
    </row>
    <row r="310" spans="1:8" ht="12.75" customHeight="1">
      <c r="C310" s="1515"/>
      <c r="D310" s="1513" t="s">
        <v>3104</v>
      </c>
      <c r="E310" s="4664" t="s">
        <v>3244</v>
      </c>
      <c r="F310" s="4664"/>
      <c r="G310" s="4664"/>
      <c r="H310" s="4664"/>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1" t="s">
        <v>3105</v>
      </c>
      <c r="F313" s="4661"/>
      <c r="G313" s="4661"/>
      <c r="H313" s="4661"/>
    </row>
    <row r="314" spans="1:8" ht="12.75" customHeight="1">
      <c r="C314" s="1514" t="s">
        <v>4292</v>
      </c>
      <c r="E314" s="4661" t="s">
        <v>3243</v>
      </c>
      <c r="F314" s="4661"/>
      <c r="G314" s="4661"/>
      <c r="H314" s="4661"/>
    </row>
    <row r="315" spans="1:8" ht="12.75" customHeight="1">
      <c r="C315" s="1515"/>
      <c r="D315" s="1513" t="s">
        <v>3104</v>
      </c>
      <c r="E315" s="4664" t="s">
        <v>3244</v>
      </c>
      <c r="F315" s="4664"/>
      <c r="G315" s="4664"/>
      <c r="H315" s="4664"/>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1" t="s">
        <v>3105</v>
      </c>
      <c r="F320" s="4661"/>
      <c r="G320" s="4661"/>
      <c r="H320" s="4661"/>
    </row>
    <row r="321" spans="1:11" ht="12.75" customHeight="1">
      <c r="C321" s="1514" t="s">
        <v>4292</v>
      </c>
      <c r="E321" s="4661" t="s">
        <v>3243</v>
      </c>
      <c r="F321" s="4661"/>
      <c r="G321" s="4661"/>
      <c r="H321" s="4661"/>
    </row>
    <row r="322" spans="1:11" ht="12.75" customHeight="1">
      <c r="C322" s="1515"/>
      <c r="D322" s="1512" t="s">
        <v>3104</v>
      </c>
      <c r="E322" s="4665" t="s">
        <v>3244</v>
      </c>
      <c r="F322" s="4665"/>
      <c r="G322" s="4665"/>
      <c r="H322" s="4665"/>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1" t="s">
        <v>3105</v>
      </c>
      <c r="F325" s="4661"/>
      <c r="G325" s="4661"/>
      <c r="H325" s="4661"/>
    </row>
    <row r="326" spans="1:11" ht="12.75" customHeight="1">
      <c r="C326" s="1514" t="s">
        <v>4292</v>
      </c>
      <c r="E326" s="4661" t="s">
        <v>3243</v>
      </c>
      <c r="F326" s="4661"/>
      <c r="G326" s="4661"/>
      <c r="H326" s="4661"/>
    </row>
    <row r="327" spans="1:11" ht="12.75" customHeight="1">
      <c r="C327" s="1515"/>
      <c r="D327" s="1513" t="s">
        <v>3104</v>
      </c>
      <c r="E327" s="4664" t="s">
        <v>3244</v>
      </c>
      <c r="F327" s="4664"/>
      <c r="G327" s="4664"/>
      <c r="H327" s="4664"/>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1" t="s">
        <v>3105</v>
      </c>
      <c r="F330" s="4661"/>
      <c r="G330" s="4661"/>
      <c r="H330" s="4661"/>
    </row>
    <row r="331" spans="1:11" ht="12.75" customHeight="1">
      <c r="C331" s="1514" t="s">
        <v>4292</v>
      </c>
      <c r="E331" s="4661" t="s">
        <v>3243</v>
      </c>
      <c r="F331" s="4661"/>
      <c r="G331" s="4661"/>
      <c r="H331" s="4661"/>
    </row>
    <row r="332" spans="1:11" ht="12.75" customHeight="1">
      <c r="C332" s="1515"/>
      <c r="D332" s="1513" t="s">
        <v>3104</v>
      </c>
      <c r="E332" s="4664" t="s">
        <v>3244</v>
      </c>
      <c r="F332" s="4664"/>
      <c r="G332" s="4664"/>
      <c r="H332" s="4664"/>
    </row>
    <row r="333" spans="1:11" ht="6" customHeight="1">
      <c r="D333" s="746"/>
      <c r="E333" s="1511"/>
      <c r="F333" s="1511"/>
      <c r="G333" s="1511"/>
      <c r="H333" s="1511"/>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61" t="s">
        <v>3008</v>
      </c>
      <c r="G336" s="4661"/>
      <c r="H336" s="4661"/>
      <c r="K336" s="699" t="s">
        <v>232</v>
      </c>
    </row>
    <row r="337" spans="1:8" ht="12.75" customHeight="1">
      <c r="C337" s="748" t="s">
        <v>1304</v>
      </c>
      <c r="D337" s="746" t="s">
        <v>1898</v>
      </c>
      <c r="E337" s="4661" t="s">
        <v>3106</v>
      </c>
      <c r="F337" s="4661"/>
      <c r="G337" s="4661"/>
      <c r="H337" s="4661"/>
    </row>
    <row r="338" spans="1:8" ht="12.75" customHeight="1">
      <c r="E338" s="4661" t="s">
        <v>3243</v>
      </c>
      <c r="F338" s="4661"/>
      <c r="G338" s="4661"/>
      <c r="H338" s="4661"/>
    </row>
    <row r="339" spans="1:8" ht="12.75" customHeight="1">
      <c r="D339" s="749" t="s">
        <v>3104</v>
      </c>
      <c r="E339" s="4661" t="s">
        <v>3244</v>
      </c>
      <c r="F339" s="4661"/>
      <c r="G339" s="4661"/>
      <c r="H339" s="4661"/>
    </row>
    <row r="340" spans="1:8" ht="9" customHeight="1"/>
    <row r="341" spans="1:8" ht="7.5" customHeight="1" thickBot="1">
      <c r="E341" s="4661"/>
      <c r="F341" s="4661"/>
      <c r="G341" s="4661"/>
      <c r="H341" s="4661"/>
    </row>
    <row r="342" spans="1:8" ht="16.149999999999999" customHeight="1" thickBot="1">
      <c r="A342" s="4662">
        <v>60</v>
      </c>
      <c r="B342" s="4663"/>
      <c r="C342" s="1516" t="s">
        <v>1000</v>
      </c>
    </row>
    <row r="343" spans="1:8" ht="9" customHeight="1">
      <c r="A343" s="702"/>
    </row>
    <row r="344" spans="1:8" ht="28.15" customHeight="1">
      <c r="A344" s="4666" t="s">
        <v>4297</v>
      </c>
      <c r="B344" s="4666"/>
      <c r="C344" s="4666"/>
      <c r="D344" s="4666"/>
      <c r="E344" s="4666"/>
      <c r="F344" s="4666"/>
      <c r="G344" s="4666"/>
      <c r="H344" s="4666"/>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61" t="s">
        <v>3008</v>
      </c>
      <c r="G348" s="4661"/>
      <c r="H348" s="4661"/>
    </row>
    <row r="349" spans="1:8" ht="12.75" customHeight="1">
      <c r="C349" s="748" t="s">
        <v>1304</v>
      </c>
      <c r="D349" s="746" t="s">
        <v>1898</v>
      </c>
      <c r="E349" s="4661" t="s">
        <v>3105</v>
      </c>
      <c r="F349" s="4661"/>
      <c r="G349" s="4661"/>
      <c r="H349" s="4661"/>
    </row>
    <row r="350" spans="1:8" ht="12.75" customHeight="1">
      <c r="C350" s="1514" t="s">
        <v>4292</v>
      </c>
      <c r="E350" s="4661" t="s">
        <v>3243</v>
      </c>
      <c r="F350" s="4661"/>
      <c r="G350" s="4661"/>
      <c r="H350" s="4661"/>
    </row>
    <row r="351" spans="1:8" ht="12.75" customHeight="1">
      <c r="C351" s="1515"/>
      <c r="D351" s="1513" t="s">
        <v>3104</v>
      </c>
      <c r="E351" s="4664" t="s">
        <v>3244</v>
      </c>
      <c r="F351" s="4664"/>
      <c r="G351" s="4664"/>
      <c r="H351" s="4664"/>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1" t="s">
        <v>3105</v>
      </c>
      <c r="F354" s="4661"/>
      <c r="G354" s="4661"/>
      <c r="H354" s="4661"/>
    </row>
    <row r="355" spans="1:8" ht="12.75" customHeight="1">
      <c r="C355" s="1514" t="s">
        <v>4292</v>
      </c>
      <c r="E355" s="4661" t="s">
        <v>3243</v>
      </c>
      <c r="F355" s="4661"/>
      <c r="G355" s="4661"/>
      <c r="H355" s="4661"/>
    </row>
    <row r="356" spans="1:8" ht="12.75" customHeight="1">
      <c r="C356" s="1515"/>
      <c r="D356" s="1513" t="s">
        <v>3104</v>
      </c>
      <c r="E356" s="4664" t="s">
        <v>3244</v>
      </c>
      <c r="F356" s="4664"/>
      <c r="G356" s="4664"/>
      <c r="H356" s="4664"/>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1" t="s">
        <v>3105</v>
      </c>
      <c r="F359" s="4661"/>
      <c r="G359" s="4661"/>
      <c r="H359" s="4661"/>
    </row>
    <row r="360" spans="1:8" ht="12.75" customHeight="1">
      <c r="C360" s="1514" t="s">
        <v>4292</v>
      </c>
      <c r="E360" s="4661" t="s">
        <v>3243</v>
      </c>
      <c r="F360" s="4661"/>
      <c r="G360" s="4661"/>
      <c r="H360" s="4661"/>
    </row>
    <row r="361" spans="1:8" ht="12.75" customHeight="1">
      <c r="C361" s="1515"/>
      <c r="D361" s="1513" t="s">
        <v>3104</v>
      </c>
      <c r="E361" s="4664" t="s">
        <v>3244</v>
      </c>
      <c r="F361" s="4664"/>
      <c r="G361" s="4664"/>
      <c r="H361" s="4664"/>
    </row>
    <row r="362" spans="1:8" ht="6" customHeight="1">
      <c r="D362" s="746"/>
      <c r="E362" s="1511"/>
      <c r="F362" s="1511"/>
      <c r="G362" s="1511"/>
      <c r="H362" s="1511"/>
    </row>
    <row r="363" spans="1:8">
      <c r="A363" s="717" t="s">
        <v>3100</v>
      </c>
      <c r="B363" s="744">
        <f>IF('Part VI-Revenues &amp; Expenses'!$L$58=0,"",'Part VI-Revenues &amp; Expenses'!$L$58)</f>
        <v>6</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1" t="s">
        <v>3105</v>
      </c>
      <c r="F366" s="4661"/>
      <c r="G366" s="4661"/>
      <c r="H366" s="4661"/>
    </row>
    <row r="367" spans="1:8" ht="12.75" customHeight="1">
      <c r="C367" s="1514" t="s">
        <v>4292</v>
      </c>
      <c r="E367" s="4661" t="s">
        <v>3243</v>
      </c>
      <c r="F367" s="4661"/>
      <c r="G367" s="4661"/>
      <c r="H367" s="4661"/>
    </row>
    <row r="368" spans="1:8" ht="12.75" customHeight="1">
      <c r="C368" s="1515"/>
      <c r="D368" s="1512" t="s">
        <v>3104</v>
      </c>
      <c r="E368" s="4665" t="s">
        <v>3244</v>
      </c>
      <c r="F368" s="4665"/>
      <c r="G368" s="4665"/>
      <c r="H368" s="4665"/>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1" t="s">
        <v>3105</v>
      </c>
      <c r="F371" s="4661"/>
      <c r="G371" s="4661"/>
      <c r="H371" s="4661"/>
    </row>
    <row r="372" spans="1:8" ht="12.75" customHeight="1">
      <c r="C372" s="1514" t="s">
        <v>4292</v>
      </c>
      <c r="E372" s="4661" t="s">
        <v>3243</v>
      </c>
      <c r="F372" s="4661"/>
      <c r="G372" s="4661"/>
      <c r="H372" s="4661"/>
    </row>
    <row r="373" spans="1:8" ht="12.75" customHeight="1">
      <c r="C373" s="1515"/>
      <c r="D373" s="1513" t="s">
        <v>3104</v>
      </c>
      <c r="E373" s="4664" t="s">
        <v>3244</v>
      </c>
      <c r="F373" s="4664"/>
      <c r="G373" s="4664"/>
      <c r="H373" s="4664"/>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1" t="s">
        <v>3105</v>
      </c>
      <c r="F376" s="4661"/>
      <c r="G376" s="4661"/>
      <c r="H376" s="4661"/>
    </row>
    <row r="377" spans="1:8" ht="12.75" customHeight="1">
      <c r="C377" s="1514" t="s">
        <v>4292</v>
      </c>
      <c r="E377" s="4661" t="s">
        <v>3243</v>
      </c>
      <c r="F377" s="4661"/>
      <c r="G377" s="4661"/>
      <c r="H377" s="4661"/>
    </row>
    <row r="378" spans="1:8" ht="12.75" customHeight="1">
      <c r="C378" s="1515"/>
      <c r="D378" s="1513" t="s">
        <v>3104</v>
      </c>
      <c r="E378" s="4664" t="s">
        <v>3244</v>
      </c>
      <c r="F378" s="4664"/>
      <c r="G378" s="4664"/>
      <c r="H378" s="4664"/>
    </row>
    <row r="379" spans="1:8" ht="6" customHeight="1">
      <c r="D379" s="746"/>
      <c r="E379" s="1511"/>
      <c r="F379" s="1511"/>
      <c r="G379" s="1511"/>
      <c r="H379" s="1511"/>
    </row>
    <row r="380" spans="1:8">
      <c r="A380" s="717" t="s">
        <v>3100</v>
      </c>
      <c r="B380" s="744">
        <f>IF('Part VI-Revenues &amp; Expenses'!$M$58=0,"",'Part VI-Revenues &amp; Expenses'!$M$58)</f>
        <v>24</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1" t="s">
        <v>3105</v>
      </c>
      <c r="F383" s="4661"/>
      <c r="G383" s="4661"/>
      <c r="H383" s="4661"/>
    </row>
    <row r="384" spans="1:8" ht="12.75" customHeight="1">
      <c r="C384" s="1514" t="s">
        <v>4292</v>
      </c>
      <c r="E384" s="4661" t="s">
        <v>3243</v>
      </c>
      <c r="F384" s="4661"/>
      <c r="G384" s="4661"/>
      <c r="H384" s="4661"/>
    </row>
    <row r="385" spans="1:8" ht="12.75" customHeight="1">
      <c r="C385" s="1515"/>
      <c r="D385" s="1512" t="s">
        <v>3104</v>
      </c>
      <c r="E385" s="4665" t="s">
        <v>3244</v>
      </c>
      <c r="F385" s="4665"/>
      <c r="G385" s="4665"/>
      <c r="H385" s="4665"/>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1" t="s">
        <v>3105</v>
      </c>
      <c r="F388" s="4661"/>
      <c r="G388" s="4661"/>
      <c r="H388" s="4661"/>
    </row>
    <row r="389" spans="1:8" ht="12.75" customHeight="1">
      <c r="C389" s="1514" t="s">
        <v>4292</v>
      </c>
      <c r="E389" s="4661" t="s">
        <v>3243</v>
      </c>
      <c r="F389" s="4661"/>
      <c r="G389" s="4661"/>
      <c r="H389" s="4661"/>
    </row>
    <row r="390" spans="1:8" ht="12.75" customHeight="1">
      <c r="C390" s="1515"/>
      <c r="D390" s="1513" t="s">
        <v>3104</v>
      </c>
      <c r="E390" s="4664" t="s">
        <v>3244</v>
      </c>
      <c r="F390" s="4664"/>
      <c r="G390" s="4664"/>
      <c r="H390" s="4664"/>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1" t="s">
        <v>3105</v>
      </c>
      <c r="F393" s="4661"/>
      <c r="G393" s="4661"/>
      <c r="H393" s="4661"/>
    </row>
    <row r="394" spans="1:8" ht="12.75" customHeight="1">
      <c r="C394" s="1514" t="s">
        <v>4292</v>
      </c>
      <c r="E394" s="4661" t="s">
        <v>3243</v>
      </c>
      <c r="F394" s="4661"/>
      <c r="G394" s="4661"/>
      <c r="H394" s="4661"/>
    </row>
    <row r="395" spans="1:8" ht="12.75" customHeight="1">
      <c r="C395" s="1515"/>
      <c r="D395" s="1513" t="s">
        <v>3104</v>
      </c>
      <c r="E395" s="4664" t="s">
        <v>3244</v>
      </c>
      <c r="F395" s="4664"/>
      <c r="G395" s="4664"/>
      <c r="H395" s="4664"/>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1" t="s">
        <v>3105</v>
      </c>
      <c r="F400" s="4661"/>
      <c r="G400" s="4661"/>
      <c r="H400" s="4661"/>
    </row>
    <row r="401" spans="1:11" ht="12.75" customHeight="1">
      <c r="C401" s="1514" t="s">
        <v>4292</v>
      </c>
      <c r="E401" s="4661" t="s">
        <v>3243</v>
      </c>
      <c r="F401" s="4661"/>
      <c r="G401" s="4661"/>
      <c r="H401" s="4661"/>
    </row>
    <row r="402" spans="1:11" ht="12.75" customHeight="1">
      <c r="C402" s="1515"/>
      <c r="D402" s="1512" t="s">
        <v>3104</v>
      </c>
      <c r="E402" s="4665" t="s">
        <v>3244</v>
      </c>
      <c r="F402" s="4665"/>
      <c r="G402" s="4665"/>
      <c r="H402" s="4665"/>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1" t="s">
        <v>3105</v>
      </c>
      <c r="F405" s="4661"/>
      <c r="G405" s="4661"/>
      <c r="H405" s="4661"/>
    </row>
    <row r="406" spans="1:11" ht="12.75" customHeight="1">
      <c r="C406" s="1514" t="s">
        <v>4292</v>
      </c>
      <c r="E406" s="4661" t="s">
        <v>3243</v>
      </c>
      <c r="F406" s="4661"/>
      <c r="G406" s="4661"/>
      <c r="H406" s="4661"/>
    </row>
    <row r="407" spans="1:11" ht="12.75" customHeight="1">
      <c r="C407" s="1515"/>
      <c r="D407" s="1513" t="s">
        <v>3104</v>
      </c>
      <c r="E407" s="4664" t="s">
        <v>3244</v>
      </c>
      <c r="F407" s="4664"/>
      <c r="G407" s="4664"/>
      <c r="H407" s="4664"/>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1" t="s">
        <v>3105</v>
      </c>
      <c r="F410" s="4661"/>
      <c r="G410" s="4661"/>
      <c r="H410" s="4661"/>
    </row>
    <row r="411" spans="1:11" ht="12.75" customHeight="1">
      <c r="C411" s="1514" t="s">
        <v>4292</v>
      </c>
      <c r="E411" s="4661" t="s">
        <v>3243</v>
      </c>
      <c r="F411" s="4661"/>
      <c r="G411" s="4661"/>
      <c r="H411" s="4661"/>
    </row>
    <row r="412" spans="1:11" ht="12.75" customHeight="1">
      <c r="C412" s="1515"/>
      <c r="D412" s="1513" t="s">
        <v>3104</v>
      </c>
      <c r="E412" s="4664" t="s">
        <v>3244</v>
      </c>
      <c r="F412" s="4664"/>
      <c r="G412" s="4664"/>
      <c r="H412" s="4664"/>
    </row>
    <row r="413" spans="1:11" ht="6" customHeight="1">
      <c r="D413" s="746"/>
      <c r="E413" s="1511"/>
      <c r="F413" s="1511"/>
      <c r="G413" s="1511"/>
      <c r="H413" s="1511"/>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61" t="s">
        <v>3008</v>
      </c>
      <c r="G416" s="4661"/>
      <c r="H416" s="4661"/>
      <c r="K416" s="699" t="s">
        <v>232</v>
      </c>
    </row>
    <row r="417" spans="1:8" ht="12.75" customHeight="1">
      <c r="C417" s="748" t="s">
        <v>1304</v>
      </c>
      <c r="D417" s="746" t="s">
        <v>1898</v>
      </c>
      <c r="E417" s="4661" t="s">
        <v>3106</v>
      </c>
      <c r="F417" s="4661"/>
      <c r="G417" s="4661"/>
      <c r="H417" s="4661"/>
    </row>
    <row r="418" spans="1:8" ht="12.75" customHeight="1">
      <c r="E418" s="4661" t="s">
        <v>3243</v>
      </c>
      <c r="F418" s="4661"/>
      <c r="G418" s="4661"/>
      <c r="H418" s="4661"/>
    </row>
    <row r="419" spans="1:8" ht="12.75" customHeight="1">
      <c r="D419" s="749" t="s">
        <v>3104</v>
      </c>
      <c r="E419" s="4661" t="s">
        <v>3244</v>
      </c>
      <c r="F419" s="4661"/>
      <c r="G419" s="4661"/>
      <c r="H419" s="4661"/>
    </row>
    <row r="420" spans="1:8" ht="9" customHeight="1" thickBot="1"/>
    <row r="421" spans="1:8" ht="16.149999999999999" customHeight="1" thickBot="1">
      <c r="A421" s="4662">
        <v>70</v>
      </c>
      <c r="B421" s="4663"/>
      <c r="C421" s="1516" t="s">
        <v>1000</v>
      </c>
    </row>
    <row r="422" spans="1:8" ht="9" customHeight="1">
      <c r="A422" s="702"/>
    </row>
    <row r="423" spans="1:8" ht="28.15" customHeight="1">
      <c r="A423" s="4666" t="s">
        <v>4298</v>
      </c>
      <c r="B423" s="4666"/>
      <c r="C423" s="4666"/>
      <c r="D423" s="4666"/>
      <c r="E423" s="4666"/>
      <c r="F423" s="4666"/>
      <c r="G423" s="4666"/>
      <c r="H423" s="4666"/>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61" t="s">
        <v>3008</v>
      </c>
      <c r="G427" s="4661"/>
      <c r="H427" s="4661"/>
    </row>
    <row r="428" spans="1:8" ht="12.75" customHeight="1">
      <c r="C428" s="748" t="s">
        <v>1304</v>
      </c>
      <c r="D428" s="746" t="s">
        <v>1898</v>
      </c>
      <c r="E428" s="4661" t="s">
        <v>3105</v>
      </c>
      <c r="F428" s="4661"/>
      <c r="G428" s="4661"/>
      <c r="H428" s="4661"/>
    </row>
    <row r="429" spans="1:8" ht="12.75" customHeight="1">
      <c r="C429" s="1514" t="s">
        <v>4292</v>
      </c>
      <c r="E429" s="4661" t="s">
        <v>3243</v>
      </c>
      <c r="F429" s="4661"/>
      <c r="G429" s="4661"/>
      <c r="H429" s="4661"/>
    </row>
    <row r="430" spans="1:8" ht="12.75" customHeight="1">
      <c r="C430" s="1515"/>
      <c r="D430" s="1513" t="s">
        <v>3104</v>
      </c>
      <c r="E430" s="4664" t="s">
        <v>3244</v>
      </c>
      <c r="F430" s="4664"/>
      <c r="G430" s="4664"/>
      <c r="H430" s="4664"/>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1" t="s">
        <v>3105</v>
      </c>
      <c r="F433" s="4661"/>
      <c r="G433" s="4661"/>
      <c r="H433" s="4661"/>
    </row>
    <row r="434" spans="1:8" ht="12.75" customHeight="1">
      <c r="C434" s="1514" t="s">
        <v>4292</v>
      </c>
      <c r="E434" s="4661" t="s">
        <v>3243</v>
      </c>
      <c r="F434" s="4661"/>
      <c r="G434" s="4661"/>
      <c r="H434" s="4661"/>
    </row>
    <row r="435" spans="1:8" ht="12.75" customHeight="1">
      <c r="C435" s="1515"/>
      <c r="D435" s="1513" t="s">
        <v>3104</v>
      </c>
      <c r="E435" s="4664" t="s">
        <v>3244</v>
      </c>
      <c r="F435" s="4664"/>
      <c r="G435" s="4664"/>
      <c r="H435" s="4664"/>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1" t="s">
        <v>3105</v>
      </c>
      <c r="F438" s="4661"/>
      <c r="G438" s="4661"/>
      <c r="H438" s="4661"/>
    </row>
    <row r="439" spans="1:8" ht="12.75" customHeight="1">
      <c r="C439" s="1514" t="s">
        <v>4292</v>
      </c>
      <c r="E439" s="4661" t="s">
        <v>3243</v>
      </c>
      <c r="F439" s="4661"/>
      <c r="G439" s="4661"/>
      <c r="H439" s="4661"/>
    </row>
    <row r="440" spans="1:8" ht="12.75" customHeight="1">
      <c r="C440" s="1515"/>
      <c r="D440" s="1513" t="s">
        <v>3104</v>
      </c>
      <c r="E440" s="4664" t="s">
        <v>3244</v>
      </c>
      <c r="F440" s="4664"/>
      <c r="G440" s="4664"/>
      <c r="H440" s="4664"/>
    </row>
    <row r="441" spans="1:8" ht="6" customHeight="1">
      <c r="D441" s="746"/>
      <c r="E441" s="1511"/>
      <c r="F441" s="1511"/>
      <c r="G441" s="1511"/>
      <c r="H441" s="1511"/>
    </row>
    <row r="442" spans="1:8">
      <c r="A442" s="717" t="s">
        <v>3100</v>
      </c>
      <c r="B442" s="744">
        <f>IF('Part VI-Revenues &amp; Expenses'!$L$57=0,"",'Part VI-Revenues &amp; Expenses'!$L$57)</f>
        <v>1</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1" t="s">
        <v>3105</v>
      </c>
      <c r="F445" s="4661"/>
      <c r="G445" s="4661"/>
      <c r="H445" s="4661"/>
    </row>
    <row r="446" spans="1:8" ht="12.75" customHeight="1">
      <c r="C446" s="1514" t="s">
        <v>4292</v>
      </c>
      <c r="E446" s="4661" t="s">
        <v>3243</v>
      </c>
      <c r="F446" s="4661"/>
      <c r="G446" s="4661"/>
      <c r="H446" s="4661"/>
    </row>
    <row r="447" spans="1:8" ht="12.75" customHeight="1">
      <c r="C447" s="1515"/>
      <c r="D447" s="1512" t="s">
        <v>3104</v>
      </c>
      <c r="E447" s="4665" t="s">
        <v>3244</v>
      </c>
      <c r="F447" s="4665"/>
      <c r="G447" s="4665"/>
      <c r="H447" s="4665"/>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1" t="s">
        <v>3105</v>
      </c>
      <c r="F450" s="4661"/>
      <c r="G450" s="4661"/>
      <c r="H450" s="4661"/>
    </row>
    <row r="451" spans="1:8" ht="12.75" customHeight="1">
      <c r="C451" s="1514" t="s">
        <v>4292</v>
      </c>
      <c r="E451" s="4661" t="s">
        <v>3243</v>
      </c>
      <c r="F451" s="4661"/>
      <c r="G451" s="4661"/>
      <c r="H451" s="4661"/>
    </row>
    <row r="452" spans="1:8" ht="12.75" customHeight="1">
      <c r="C452" s="1515"/>
      <c r="D452" s="1513" t="s">
        <v>3104</v>
      </c>
      <c r="E452" s="4664" t="s">
        <v>3244</v>
      </c>
      <c r="F452" s="4664"/>
      <c r="G452" s="4664"/>
      <c r="H452" s="4664"/>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1" t="s">
        <v>3105</v>
      </c>
      <c r="F455" s="4661"/>
      <c r="G455" s="4661"/>
      <c r="H455" s="4661"/>
    </row>
    <row r="456" spans="1:8" ht="12.75" customHeight="1">
      <c r="C456" s="1514" t="s">
        <v>4292</v>
      </c>
      <c r="E456" s="4661" t="s">
        <v>3243</v>
      </c>
      <c r="F456" s="4661"/>
      <c r="G456" s="4661"/>
      <c r="H456" s="4661"/>
    </row>
    <row r="457" spans="1:8" ht="12.75" customHeight="1">
      <c r="C457" s="1515"/>
      <c r="D457" s="1513" t="s">
        <v>3104</v>
      </c>
      <c r="E457" s="4664" t="s">
        <v>3244</v>
      </c>
      <c r="F457" s="4664"/>
      <c r="G457" s="4664"/>
      <c r="H457" s="4664"/>
    </row>
    <row r="458" spans="1:8" ht="6" customHeight="1">
      <c r="D458" s="746"/>
      <c r="E458" s="1511"/>
      <c r="F458" s="1511"/>
      <c r="G458" s="1511"/>
      <c r="H458" s="1511"/>
    </row>
    <row r="459" spans="1:8">
      <c r="A459" s="717" t="s">
        <v>3100</v>
      </c>
      <c r="B459" s="744">
        <f>IF('Part VI-Revenues &amp; Expenses'!$M$57=0,"",'Part VI-Revenues &amp; Expenses'!$M$57)</f>
        <v>4</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1" t="s">
        <v>3105</v>
      </c>
      <c r="F462" s="4661"/>
      <c r="G462" s="4661"/>
      <c r="H462" s="4661"/>
    </row>
    <row r="463" spans="1:8" ht="12.75" customHeight="1">
      <c r="C463" s="1514" t="s">
        <v>4292</v>
      </c>
      <c r="E463" s="4661" t="s">
        <v>3243</v>
      </c>
      <c r="F463" s="4661"/>
      <c r="G463" s="4661"/>
      <c r="H463" s="4661"/>
    </row>
    <row r="464" spans="1:8" ht="12.75" customHeight="1">
      <c r="C464" s="1515"/>
      <c r="D464" s="1512" t="s">
        <v>3104</v>
      </c>
      <c r="E464" s="4665" t="s">
        <v>3244</v>
      </c>
      <c r="F464" s="4665"/>
      <c r="G464" s="4665"/>
      <c r="H464" s="4665"/>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1" t="s">
        <v>3105</v>
      </c>
      <c r="F467" s="4661"/>
      <c r="G467" s="4661"/>
      <c r="H467" s="4661"/>
    </row>
    <row r="468" spans="1:8" ht="12.75" customHeight="1">
      <c r="C468" s="1514" t="s">
        <v>4292</v>
      </c>
      <c r="E468" s="4661" t="s">
        <v>3243</v>
      </c>
      <c r="F468" s="4661"/>
      <c r="G468" s="4661"/>
      <c r="H468" s="4661"/>
    </row>
    <row r="469" spans="1:8" ht="12.75" customHeight="1">
      <c r="C469" s="1515"/>
      <c r="D469" s="1513" t="s">
        <v>3104</v>
      </c>
      <c r="E469" s="4664" t="s">
        <v>3244</v>
      </c>
      <c r="F469" s="4664"/>
      <c r="G469" s="4664"/>
      <c r="H469" s="4664"/>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1" t="s">
        <v>3105</v>
      </c>
      <c r="F472" s="4661"/>
      <c r="G472" s="4661"/>
      <c r="H472" s="4661"/>
    </row>
    <row r="473" spans="1:8" ht="12.75" customHeight="1">
      <c r="C473" s="1514" t="s">
        <v>4292</v>
      </c>
      <c r="E473" s="4661" t="s">
        <v>3243</v>
      </c>
      <c r="F473" s="4661"/>
      <c r="G473" s="4661"/>
      <c r="H473" s="4661"/>
    </row>
    <row r="474" spans="1:8" ht="12.75" customHeight="1">
      <c r="C474" s="1515"/>
      <c r="D474" s="1513" t="s">
        <v>3104</v>
      </c>
      <c r="E474" s="4664" t="s">
        <v>3244</v>
      </c>
      <c r="F474" s="4664"/>
      <c r="G474" s="4664"/>
      <c r="H474" s="4664"/>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1" t="s">
        <v>3105</v>
      </c>
      <c r="F479" s="4661"/>
      <c r="G479" s="4661"/>
      <c r="H479" s="4661"/>
    </row>
    <row r="480" spans="1:8" ht="12.75" customHeight="1">
      <c r="C480" s="1514" t="s">
        <v>4292</v>
      </c>
      <c r="E480" s="4661" t="s">
        <v>3243</v>
      </c>
      <c r="F480" s="4661"/>
      <c r="G480" s="4661"/>
      <c r="H480" s="4661"/>
    </row>
    <row r="481" spans="1:11" ht="12.75" customHeight="1">
      <c r="C481" s="1515"/>
      <c r="D481" s="1512" t="s">
        <v>3104</v>
      </c>
      <c r="E481" s="4665" t="s">
        <v>3244</v>
      </c>
      <c r="F481" s="4665"/>
      <c r="G481" s="4665"/>
      <c r="H481" s="4665"/>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1" t="s">
        <v>3105</v>
      </c>
      <c r="F484" s="4661"/>
      <c r="G484" s="4661"/>
      <c r="H484" s="4661"/>
    </row>
    <row r="485" spans="1:11" ht="12.75" customHeight="1">
      <c r="C485" s="1514" t="s">
        <v>4292</v>
      </c>
      <c r="E485" s="4661" t="s">
        <v>3243</v>
      </c>
      <c r="F485" s="4661"/>
      <c r="G485" s="4661"/>
      <c r="H485" s="4661"/>
    </row>
    <row r="486" spans="1:11" ht="12.75" customHeight="1">
      <c r="C486" s="1515"/>
      <c r="D486" s="1513" t="s">
        <v>3104</v>
      </c>
      <c r="E486" s="4664" t="s">
        <v>3244</v>
      </c>
      <c r="F486" s="4664"/>
      <c r="G486" s="4664"/>
      <c r="H486" s="4664"/>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1" t="s">
        <v>3105</v>
      </c>
      <c r="F489" s="4661"/>
      <c r="G489" s="4661"/>
      <c r="H489" s="4661"/>
    </row>
    <row r="490" spans="1:11" ht="12.75" customHeight="1">
      <c r="C490" s="1514" t="s">
        <v>4292</v>
      </c>
      <c r="E490" s="4661" t="s">
        <v>3243</v>
      </c>
      <c r="F490" s="4661"/>
      <c r="G490" s="4661"/>
      <c r="H490" s="4661"/>
    </row>
    <row r="491" spans="1:11" ht="12.75" customHeight="1">
      <c r="C491" s="1515"/>
      <c r="D491" s="1513" t="s">
        <v>3104</v>
      </c>
      <c r="E491" s="4664" t="s">
        <v>3244</v>
      </c>
      <c r="F491" s="4664"/>
      <c r="G491" s="4664"/>
      <c r="H491" s="4664"/>
    </row>
    <row r="492" spans="1:11" ht="6" customHeight="1">
      <c r="D492" s="746"/>
      <c r="E492" s="1511"/>
      <c r="F492" s="1511"/>
      <c r="G492" s="1511"/>
      <c r="H492" s="1511"/>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61" t="s">
        <v>3008</v>
      </c>
      <c r="G495" s="4661"/>
      <c r="H495" s="4661"/>
      <c r="K495" s="699" t="s">
        <v>232</v>
      </c>
    </row>
    <row r="496" spans="1:11" ht="12.75" customHeight="1">
      <c r="C496" s="748" t="s">
        <v>1304</v>
      </c>
      <c r="D496" s="746" t="s">
        <v>1898</v>
      </c>
      <c r="E496" s="4661" t="s">
        <v>3106</v>
      </c>
      <c r="F496" s="4661"/>
      <c r="G496" s="4661"/>
      <c r="H496" s="4661"/>
    </row>
    <row r="497" spans="1:8" ht="12.75" customHeight="1">
      <c r="E497" s="4661" t="s">
        <v>3243</v>
      </c>
      <c r="F497" s="4661"/>
      <c r="G497" s="4661"/>
      <c r="H497" s="4661"/>
    </row>
    <row r="498" spans="1:8" ht="12.75" customHeight="1">
      <c r="D498" s="749" t="s">
        <v>3104</v>
      </c>
      <c r="E498" s="4661" t="s">
        <v>3244</v>
      </c>
      <c r="F498" s="4661"/>
      <c r="G498" s="4661"/>
      <c r="H498" s="4661"/>
    </row>
    <row r="499" spans="1:8" ht="9" customHeight="1" thickBot="1"/>
    <row r="500" spans="1:8" ht="16.149999999999999" customHeight="1" thickBot="1">
      <c r="A500" s="4662">
        <v>80</v>
      </c>
      <c r="B500" s="4663"/>
      <c r="C500" s="1516" t="s">
        <v>1000</v>
      </c>
    </row>
    <row r="501" spans="1:8" ht="9" customHeight="1">
      <c r="A501" s="702"/>
    </row>
    <row r="502" spans="1:8" ht="28.15" customHeight="1">
      <c r="A502" s="4666" t="s">
        <v>4299</v>
      </c>
      <c r="B502" s="4666"/>
      <c r="C502" s="4666"/>
      <c r="D502" s="4666"/>
      <c r="E502" s="4666"/>
      <c r="F502" s="4666"/>
      <c r="G502" s="4666"/>
      <c r="H502" s="4666"/>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61" t="s">
        <v>3008</v>
      </c>
      <c r="G506" s="4661"/>
      <c r="H506" s="4661"/>
    </row>
    <row r="507" spans="1:8" ht="12.75" customHeight="1">
      <c r="C507" s="748" t="s">
        <v>1304</v>
      </c>
      <c r="D507" s="746" t="s">
        <v>1898</v>
      </c>
      <c r="E507" s="4661" t="s">
        <v>3105</v>
      </c>
      <c r="F507" s="4661"/>
      <c r="G507" s="4661"/>
      <c r="H507" s="4661"/>
    </row>
    <row r="508" spans="1:8" ht="12.75" customHeight="1">
      <c r="C508" s="1514" t="s">
        <v>4292</v>
      </c>
      <c r="E508" s="4661" t="s">
        <v>3243</v>
      </c>
      <c r="F508" s="4661"/>
      <c r="G508" s="4661"/>
      <c r="H508" s="4661"/>
    </row>
    <row r="509" spans="1:8" ht="12.75" customHeight="1">
      <c r="C509" s="1515"/>
      <c r="D509" s="1513" t="s">
        <v>3104</v>
      </c>
      <c r="E509" s="4664" t="s">
        <v>3244</v>
      </c>
      <c r="F509" s="4664"/>
      <c r="G509" s="4664"/>
      <c r="H509" s="4664"/>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1" t="s">
        <v>3105</v>
      </c>
      <c r="F512" s="4661"/>
      <c r="G512" s="4661"/>
      <c r="H512" s="4661"/>
    </row>
    <row r="513" spans="1:8" ht="12.75" customHeight="1">
      <c r="C513" s="1514" t="s">
        <v>4292</v>
      </c>
      <c r="E513" s="4661" t="s">
        <v>3243</v>
      </c>
      <c r="F513" s="4661"/>
      <c r="G513" s="4661"/>
      <c r="H513" s="4661"/>
    </row>
    <row r="514" spans="1:8" ht="12.75" customHeight="1">
      <c r="C514" s="1515"/>
      <c r="D514" s="1513" t="s">
        <v>3104</v>
      </c>
      <c r="E514" s="4664" t="s">
        <v>3244</v>
      </c>
      <c r="F514" s="4664"/>
      <c r="G514" s="4664"/>
      <c r="H514" s="4664"/>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1" t="s">
        <v>3105</v>
      </c>
      <c r="F517" s="4661"/>
      <c r="G517" s="4661"/>
      <c r="H517" s="4661"/>
    </row>
    <row r="518" spans="1:8" ht="12.75" customHeight="1">
      <c r="C518" s="1514" t="s">
        <v>4292</v>
      </c>
      <c r="E518" s="4661" t="s">
        <v>3243</v>
      </c>
      <c r="F518" s="4661"/>
      <c r="G518" s="4661"/>
      <c r="H518" s="4661"/>
    </row>
    <row r="519" spans="1:8" ht="12.75" customHeight="1">
      <c r="C519" s="1515"/>
      <c r="D519" s="1513" t="s">
        <v>3104</v>
      </c>
      <c r="E519" s="4664" t="s">
        <v>3244</v>
      </c>
      <c r="F519" s="4664"/>
      <c r="G519" s="4664"/>
      <c r="H519" s="4664"/>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1" t="s">
        <v>3105</v>
      </c>
      <c r="F524" s="4661"/>
      <c r="G524" s="4661"/>
      <c r="H524" s="4661"/>
    </row>
    <row r="525" spans="1:8" ht="12.75" customHeight="1">
      <c r="C525" s="1514" t="s">
        <v>4292</v>
      </c>
      <c r="E525" s="4661" t="s">
        <v>3243</v>
      </c>
      <c r="F525" s="4661"/>
      <c r="G525" s="4661"/>
      <c r="H525" s="4661"/>
    </row>
    <row r="526" spans="1:8" ht="12.75" customHeight="1">
      <c r="C526" s="1515"/>
      <c r="D526" s="1512" t="s">
        <v>3104</v>
      </c>
      <c r="E526" s="4665" t="s">
        <v>3244</v>
      </c>
      <c r="F526" s="4665"/>
      <c r="G526" s="4665"/>
      <c r="H526" s="4665"/>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1" t="s">
        <v>3105</v>
      </c>
      <c r="F529" s="4661"/>
      <c r="G529" s="4661"/>
      <c r="H529" s="4661"/>
    </row>
    <row r="530" spans="1:8" ht="12.75" customHeight="1">
      <c r="C530" s="1514" t="s">
        <v>4292</v>
      </c>
      <c r="E530" s="4661" t="s">
        <v>3243</v>
      </c>
      <c r="F530" s="4661"/>
      <c r="G530" s="4661"/>
      <c r="H530" s="4661"/>
    </row>
    <row r="531" spans="1:8" ht="12.75" customHeight="1">
      <c r="C531" s="1515"/>
      <c r="D531" s="1513" t="s">
        <v>3104</v>
      </c>
      <c r="E531" s="4664" t="s">
        <v>3244</v>
      </c>
      <c r="F531" s="4664"/>
      <c r="G531" s="4664"/>
      <c r="H531" s="4664"/>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1" t="s">
        <v>3105</v>
      </c>
      <c r="F534" s="4661"/>
      <c r="G534" s="4661"/>
      <c r="H534" s="4661"/>
    </row>
    <row r="535" spans="1:8" ht="12.75" customHeight="1">
      <c r="C535" s="1514" t="s">
        <v>4292</v>
      </c>
      <c r="E535" s="4661" t="s">
        <v>3243</v>
      </c>
      <c r="F535" s="4661"/>
      <c r="G535" s="4661"/>
      <c r="H535" s="4661"/>
    </row>
    <row r="536" spans="1:8" ht="12.75" customHeight="1">
      <c r="C536" s="1515"/>
      <c r="D536" s="1513" t="s">
        <v>3104</v>
      </c>
      <c r="E536" s="4664" t="s">
        <v>3244</v>
      </c>
      <c r="F536" s="4664"/>
      <c r="G536" s="4664"/>
      <c r="H536" s="4664"/>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1" t="s">
        <v>3105</v>
      </c>
      <c r="F541" s="4661"/>
      <c r="G541" s="4661"/>
      <c r="H541" s="4661"/>
    </row>
    <row r="542" spans="1:8" ht="12.75" customHeight="1">
      <c r="C542" s="1514" t="s">
        <v>4292</v>
      </c>
      <c r="E542" s="4661" t="s">
        <v>3243</v>
      </c>
      <c r="F542" s="4661"/>
      <c r="G542" s="4661"/>
      <c r="H542" s="4661"/>
    </row>
    <row r="543" spans="1:8" ht="12.75" customHeight="1">
      <c r="C543" s="1515"/>
      <c r="D543" s="1512" t="s">
        <v>3104</v>
      </c>
      <c r="E543" s="4665" t="s">
        <v>3244</v>
      </c>
      <c r="F543" s="4665"/>
      <c r="G543" s="4665"/>
      <c r="H543" s="4665"/>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1" t="s">
        <v>3105</v>
      </c>
      <c r="F546" s="4661"/>
      <c r="G546" s="4661"/>
      <c r="H546" s="4661"/>
    </row>
    <row r="547" spans="1:8" ht="12.75" customHeight="1">
      <c r="C547" s="1514" t="s">
        <v>4292</v>
      </c>
      <c r="E547" s="4661" t="s">
        <v>3243</v>
      </c>
      <c r="F547" s="4661"/>
      <c r="G547" s="4661"/>
      <c r="H547" s="4661"/>
    </row>
    <row r="548" spans="1:8" ht="12.75" customHeight="1">
      <c r="C548" s="1515"/>
      <c r="D548" s="1513" t="s">
        <v>3104</v>
      </c>
      <c r="E548" s="4664" t="s">
        <v>3244</v>
      </c>
      <c r="F548" s="4664"/>
      <c r="G548" s="4664"/>
      <c r="H548" s="4664"/>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1" t="s">
        <v>3105</v>
      </c>
      <c r="F551" s="4661"/>
      <c r="G551" s="4661"/>
      <c r="H551" s="4661"/>
    </row>
    <row r="552" spans="1:8" ht="12.75" customHeight="1">
      <c r="C552" s="1514" t="s">
        <v>4292</v>
      </c>
      <c r="E552" s="4661" t="s">
        <v>3243</v>
      </c>
      <c r="F552" s="4661"/>
      <c r="G552" s="4661"/>
      <c r="H552" s="4661"/>
    </row>
    <row r="553" spans="1:8" ht="12.75" customHeight="1">
      <c r="C553" s="1515"/>
      <c r="D553" s="1513" t="s">
        <v>3104</v>
      </c>
      <c r="E553" s="4664" t="s">
        <v>3244</v>
      </c>
      <c r="F553" s="4664"/>
      <c r="G553" s="4664"/>
      <c r="H553" s="4664"/>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1" t="s">
        <v>3105</v>
      </c>
      <c r="F558" s="4661"/>
      <c r="G558" s="4661"/>
      <c r="H558" s="4661"/>
    </row>
    <row r="559" spans="1:8" ht="12.75" customHeight="1">
      <c r="C559" s="1514" t="s">
        <v>4292</v>
      </c>
      <c r="E559" s="4661" t="s">
        <v>3243</v>
      </c>
      <c r="F559" s="4661"/>
      <c r="G559" s="4661"/>
      <c r="H559" s="4661"/>
    </row>
    <row r="560" spans="1:8" ht="12.75" customHeight="1">
      <c r="C560" s="1515"/>
      <c r="D560" s="1512" t="s">
        <v>3104</v>
      </c>
      <c r="E560" s="4665" t="s">
        <v>3244</v>
      </c>
      <c r="F560" s="4665"/>
      <c r="G560" s="4665"/>
      <c r="H560" s="4665"/>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1" t="s">
        <v>3105</v>
      </c>
      <c r="F563" s="4661"/>
      <c r="G563" s="4661"/>
      <c r="H563" s="4661"/>
    </row>
    <row r="564" spans="1:11" ht="12.75" customHeight="1">
      <c r="C564" s="1514" t="s">
        <v>4292</v>
      </c>
      <c r="E564" s="4661" t="s">
        <v>3243</v>
      </c>
      <c r="F564" s="4661"/>
      <c r="G564" s="4661"/>
      <c r="H564" s="4661"/>
    </row>
    <row r="565" spans="1:11" ht="12.75" customHeight="1">
      <c r="C565" s="1515"/>
      <c r="D565" s="1513" t="s">
        <v>3104</v>
      </c>
      <c r="E565" s="4664" t="s">
        <v>3244</v>
      </c>
      <c r="F565" s="4664"/>
      <c r="G565" s="4664"/>
      <c r="H565" s="4664"/>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1" t="s">
        <v>3105</v>
      </c>
      <c r="F568" s="4661"/>
      <c r="G568" s="4661"/>
      <c r="H568" s="4661"/>
    </row>
    <row r="569" spans="1:11" ht="12.75" customHeight="1">
      <c r="C569" s="1514" t="s">
        <v>4292</v>
      </c>
      <c r="E569" s="4661" t="s">
        <v>3243</v>
      </c>
      <c r="F569" s="4661"/>
      <c r="G569" s="4661"/>
      <c r="H569" s="4661"/>
    </row>
    <row r="570" spans="1:11" ht="12.75" customHeight="1">
      <c r="C570" s="1515"/>
      <c r="D570" s="1513" t="s">
        <v>3104</v>
      </c>
      <c r="E570" s="4664" t="s">
        <v>3244</v>
      </c>
      <c r="F570" s="4664"/>
      <c r="G570" s="4664"/>
      <c r="H570" s="4664"/>
    </row>
    <row r="571" spans="1:11" ht="6" customHeight="1">
      <c r="D571" s="746"/>
      <c r="E571" s="1511"/>
      <c r="F571" s="1511"/>
      <c r="G571" s="1511"/>
      <c r="H571" s="1511"/>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61" t="s">
        <v>3008</v>
      </c>
      <c r="G574" s="4661"/>
      <c r="H574" s="4661"/>
      <c r="K574" s="699" t="s">
        <v>232</v>
      </c>
    </row>
    <row r="575" spans="1:11" ht="12.75" customHeight="1">
      <c r="C575" s="748" t="s">
        <v>1304</v>
      </c>
      <c r="D575" s="746" t="s">
        <v>1898</v>
      </c>
      <c r="E575" s="4661" t="s">
        <v>3106</v>
      </c>
      <c r="F575" s="4661"/>
      <c r="G575" s="4661"/>
      <c r="H575" s="4661"/>
    </row>
    <row r="576" spans="1:11" ht="12.75" customHeight="1">
      <c r="E576" s="4661" t="s">
        <v>3243</v>
      </c>
      <c r="F576" s="4661"/>
      <c r="G576" s="4661"/>
      <c r="H576" s="4661"/>
    </row>
    <row r="577" spans="4:8" ht="12.75" customHeight="1">
      <c r="D577" s="749" t="s">
        <v>3104</v>
      </c>
      <c r="E577" s="4661" t="s">
        <v>3244</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Sparrow Pointe</v>
      </c>
    </row>
    <row r="2" spans="1:14">
      <c r="A2" s="636" t="s">
        <v>3002</v>
      </c>
      <c r="H2" s="699" t="str">
        <f>'Sensitivity Analysis'!E8</f>
        <v>2021-050</v>
      </c>
    </row>
    <row r="3" spans="1:14" ht="3" customHeight="1"/>
    <row r="4" spans="1:14" ht="69.599999999999994" customHeight="1">
      <c r="A4" s="4667" t="s">
        <v>3098</v>
      </c>
      <c r="B4" s="4667"/>
      <c r="C4" s="4667"/>
      <c r="D4" s="4667"/>
      <c r="E4" s="4667"/>
      <c r="F4" s="4667"/>
      <c r="G4" s="4667"/>
      <c r="H4" s="4667"/>
      <c r="I4" s="4667"/>
      <c r="J4" s="4667"/>
      <c r="K4" s="4667"/>
      <c r="L4" s="4709">
        <f>SUM('Part VII-Pro Forma'!B15:B17)/12</f>
        <v>27571.058999999997</v>
      </c>
      <c r="M4" s="4709"/>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7" t="s">
        <v>3004</v>
      </c>
      <c r="D7" s="4667"/>
      <c r="E7" s="4667"/>
      <c r="F7" s="4667"/>
      <c r="G7" s="4667"/>
      <c r="H7" s="4667"/>
      <c r="I7" s="4667"/>
      <c r="J7" s="4667"/>
      <c r="K7" s="4667"/>
      <c r="L7" s="4667"/>
      <c r="M7" s="4667"/>
    </row>
    <row r="8" spans="1:14" ht="3" customHeight="1"/>
    <row r="9" spans="1:14">
      <c r="A9" s="699" t="s">
        <v>3005</v>
      </c>
    </row>
    <row r="10" spans="1:14" ht="1.5" customHeight="1"/>
    <row r="11" spans="1:14" ht="26.25" customHeight="1">
      <c r="A11" s="743" t="s">
        <v>1893</v>
      </c>
      <c r="B11" s="4667" t="s">
        <v>3095</v>
      </c>
      <c r="C11" s="4667"/>
      <c r="D11" s="4667"/>
      <c r="E11" s="4667"/>
      <c r="F11" s="4667"/>
      <c r="G11" s="4667"/>
      <c r="H11" s="4667"/>
      <c r="I11" s="4667"/>
      <c r="J11" s="4667"/>
      <c r="K11" s="4667"/>
      <c r="L11" s="4668">
        <f>'Part III-Sources of Funds'!I51+'Part III-Sources of Funds'!I52</f>
        <v>12385511</v>
      </c>
      <c r="M11" s="4668"/>
    </row>
    <row r="12" spans="1:14" ht="1.5" customHeight="1">
      <c r="G12" s="712"/>
      <c r="H12" s="712"/>
    </row>
    <row r="13" spans="1:14" ht="25.9" customHeight="1">
      <c r="A13" s="743" t="s">
        <v>1895</v>
      </c>
      <c r="B13" s="4667" t="s">
        <v>3096</v>
      </c>
      <c r="C13" s="4667"/>
      <c r="D13" s="4667"/>
      <c r="E13" s="4667"/>
      <c r="F13" s="4667"/>
      <c r="G13" s="4667"/>
      <c r="H13" s="4667"/>
      <c r="I13" s="4667"/>
      <c r="J13" s="4667"/>
      <c r="K13" s="4667"/>
      <c r="L13" s="4669" t="s">
        <v>2933</v>
      </c>
      <c r="M13" s="4669"/>
    </row>
    <row r="14" spans="1:14">
      <c r="A14" s="743"/>
      <c r="B14" s="4484"/>
      <c r="C14" s="4484"/>
      <c r="D14" s="4484"/>
      <c r="E14" s="4484"/>
      <c r="F14" s="4484"/>
      <c r="G14" s="4484"/>
      <c r="H14" s="4484"/>
    </row>
    <row r="15" spans="1:14" ht="3" customHeight="1"/>
    <row r="16" spans="1:14">
      <c r="A16" s="743" t="s">
        <v>719</v>
      </c>
      <c r="B16" s="699" t="s">
        <v>3099</v>
      </c>
      <c r="F16" s="735"/>
      <c r="L16" s="4478" t="s">
        <v>2772</v>
      </c>
      <c r="M16" s="4478"/>
    </row>
    <row r="17" spans="1:19" ht="1.5" customHeight="1">
      <c r="L17" s="717"/>
    </row>
    <row r="18" spans="1:19" ht="12" customHeight="1">
      <c r="A18" s="743" t="s">
        <v>2021</v>
      </c>
      <c r="B18" s="712" t="s">
        <v>3097</v>
      </c>
      <c r="C18" s="743"/>
      <c r="D18" s="743"/>
      <c r="E18" s="743"/>
      <c r="L18" s="4484" t="s">
        <v>2625</v>
      </c>
      <c r="M18" s="4484"/>
    </row>
    <row r="19" spans="1:19" ht="12" hidden="1" customHeight="1">
      <c r="B19" s="4484"/>
      <c r="C19" s="4484"/>
      <c r="D19" s="4484"/>
      <c r="E19" s="4484"/>
      <c r="F19" s="4484"/>
      <c r="G19" s="4484"/>
      <c r="H19" s="4484"/>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2" t="s">
        <v>4289</v>
      </c>
      <c r="B23" s="4682"/>
      <c r="C23" s="4682"/>
      <c r="D23" s="4682"/>
      <c r="E23" s="4682"/>
      <c r="F23" s="4682"/>
      <c r="G23" s="4682"/>
      <c r="H23" s="4682"/>
      <c r="I23" s="4682"/>
      <c r="J23" s="4682"/>
      <c r="K23" s="4682"/>
      <c r="L23" s="4682"/>
      <c r="M23" s="4682"/>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1</v>
      </c>
      <c r="G26" s="1658">
        <f>'Part VI-Revenues &amp; Expenses'!M57</f>
        <v>4</v>
      </c>
      <c r="H26" s="1658">
        <f>'Part VI-Revenues &amp; Expenses'!N57</f>
        <v>0</v>
      </c>
      <c r="I26" s="1658">
        <f>'Part VI-Revenues &amp; Expenses'!O57</f>
        <v>0</v>
      </c>
      <c r="J26" s="1659">
        <f>'Part VI-Revenues &amp; Expenses'!P57</f>
        <v>5</v>
      </c>
    </row>
    <row r="27" spans="1:19" s="498" customFormat="1" ht="15" customHeight="1">
      <c r="C27" s="1653" t="s">
        <v>1107</v>
      </c>
      <c r="D27" s="1645"/>
      <c r="E27" s="1657">
        <f>'Part VI-Revenues &amp; Expenses'!K58</f>
        <v>0</v>
      </c>
      <c r="F27" s="1658">
        <f>'Part VI-Revenues &amp; Expenses'!L58</f>
        <v>6</v>
      </c>
      <c r="G27" s="1658">
        <f>'Part VI-Revenues &amp; Expenses'!M58</f>
        <v>24</v>
      </c>
      <c r="H27" s="1658">
        <f>'Part VI-Revenues &amp; Expenses'!N58</f>
        <v>0</v>
      </c>
      <c r="I27" s="1658">
        <f>'Part VI-Revenues &amp; Expenses'!O58</f>
        <v>0</v>
      </c>
      <c r="J27" s="1659">
        <f>'Part VI-Revenues &amp; Expenses'!P58</f>
        <v>30</v>
      </c>
    </row>
    <row r="28" spans="1:19" s="498" customFormat="1" ht="15" customHeight="1">
      <c r="C28" s="1653" t="s">
        <v>111</v>
      </c>
      <c r="D28" s="1645"/>
      <c r="E28" s="1657">
        <f>'Part VI-Revenues &amp; Expenses'!K59</f>
        <v>0</v>
      </c>
      <c r="F28" s="1658">
        <f>'Part VI-Revenues &amp; Expenses'!L59</f>
        <v>3</v>
      </c>
      <c r="G28" s="1658">
        <f>'Part VI-Revenues &amp; Expenses'!M59</f>
        <v>12</v>
      </c>
      <c r="H28" s="1658">
        <f>'Part VI-Revenues &amp; Expenses'!N59</f>
        <v>0</v>
      </c>
      <c r="I28" s="1658">
        <f>'Part VI-Revenues &amp; Expenses'!O59</f>
        <v>0</v>
      </c>
      <c r="J28" s="1659">
        <f>'Part VI-Revenues &amp; Expenses'!P59</f>
        <v>15</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10</v>
      </c>
      <c r="G32" s="1651">
        <f>'Part VI-Revenues &amp; Expenses'!M63</f>
        <v>40</v>
      </c>
      <c r="H32" s="1651">
        <f>'Part VI-Revenues &amp; Expenses'!N63</f>
        <v>0</v>
      </c>
      <c r="I32" s="1651">
        <f>'Part VI-Revenues &amp; Expenses'!O63</f>
        <v>0</v>
      </c>
      <c r="J32" s="1661">
        <f>'Part VI-Revenues &amp; Expenses'!P63</f>
        <v>50</v>
      </c>
    </row>
    <row r="33" spans="1:12" s="498" customFormat="1" ht="13.15" customHeight="1" thickBot="1">
      <c r="K33" s="1638"/>
    </row>
    <row r="34" spans="1:12" s="498" customFormat="1" ht="14.25" customHeight="1" thickBot="1">
      <c r="A34" s="1638"/>
      <c r="B34" s="4683" t="s">
        <v>6421</v>
      </c>
      <c r="E34" s="4684" t="s">
        <v>6276</v>
      </c>
      <c r="F34" s="4685"/>
      <c r="G34" s="4685"/>
      <c r="H34" s="4685"/>
      <c r="I34" s="4685"/>
      <c r="J34" s="4685"/>
      <c r="K34" s="4685"/>
      <c r="L34" s="4686"/>
    </row>
    <row r="35" spans="1:12" s="498" customFormat="1" ht="14.25" customHeight="1">
      <c r="A35" s="1638"/>
      <c r="B35" s="4683"/>
      <c r="C35" s="4687" t="s">
        <v>6422</v>
      </c>
      <c r="D35" s="4683" t="s">
        <v>6423</v>
      </c>
      <c r="E35" s="4688" t="s">
        <v>6279</v>
      </c>
      <c r="F35" s="4689"/>
      <c r="G35" s="4692" t="s">
        <v>1304</v>
      </c>
      <c r="H35" s="4694" t="s">
        <v>6275</v>
      </c>
      <c r="I35" s="4695"/>
      <c r="J35" s="4695"/>
      <c r="K35" s="4695"/>
      <c r="L35" s="4696"/>
    </row>
    <row r="36" spans="1:12" s="498" customFormat="1" ht="23.25" customHeight="1">
      <c r="A36" s="4687" t="s">
        <v>1000</v>
      </c>
      <c r="B36" s="4683"/>
      <c r="C36" s="4687"/>
      <c r="D36" s="4683"/>
      <c r="E36" s="4690"/>
      <c r="F36" s="4691"/>
      <c r="G36" s="4693"/>
      <c r="H36" s="4697" t="s">
        <v>6277</v>
      </c>
      <c r="I36" s="4698"/>
      <c r="J36" s="4701" t="s">
        <v>1304</v>
      </c>
      <c r="K36" s="4698" t="s">
        <v>6278</v>
      </c>
      <c r="L36" s="4703"/>
    </row>
    <row r="37" spans="1:12" s="498" customFormat="1" ht="23.25" customHeight="1">
      <c r="A37" s="4687"/>
      <c r="B37" s="4683"/>
      <c r="C37" s="4687"/>
      <c r="D37" s="4683"/>
      <c r="E37" s="4690"/>
      <c r="F37" s="4691"/>
      <c r="G37" s="4693"/>
      <c r="H37" s="4697"/>
      <c r="I37" s="4698"/>
      <c r="J37" s="4702"/>
      <c r="K37" s="4698"/>
      <c r="L37" s="4703"/>
    </row>
    <row r="38" spans="1:12" s="498" customFormat="1" ht="23.25" customHeight="1">
      <c r="A38" s="4683"/>
      <c r="B38" s="4683"/>
      <c r="C38" s="4683"/>
      <c r="D38" s="4683"/>
      <c r="E38" s="4690"/>
      <c r="F38" s="4691"/>
      <c r="G38" s="4693"/>
      <c r="H38" s="4699"/>
      <c r="I38" s="4700"/>
      <c r="J38" s="4702"/>
      <c r="K38" s="4700"/>
      <c r="L38" s="4704"/>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690</v>
      </c>
      <c r="E39" s="4707">
        <f>'Part VI-Revenues &amp; Expenses'!H18</f>
        <v>544</v>
      </c>
      <c r="F39" s="4708"/>
      <c r="G39" s="1645"/>
      <c r="H39" s="4676"/>
      <c r="I39" s="4677"/>
      <c r="J39" s="4677"/>
      <c r="K39" s="4677"/>
      <c r="L39" s="4678"/>
    </row>
    <row r="40" spans="1:12" s="498" customFormat="1" ht="13.15" customHeight="1">
      <c r="A40" s="1646">
        <f>'Part VI-Revenues &amp; Expenses'!B19</f>
        <v>60</v>
      </c>
      <c r="B40" s="1647">
        <f>'Part VI-Revenues &amp; Expenses'!E19</f>
        <v>6</v>
      </c>
      <c r="C40" s="1648" t="str">
        <f>_xlfn.CONCAT('Part VI-Revenues &amp; Expenses'!C19," / ",'Part VI-Revenues &amp; Expenses'!D19)</f>
        <v>1 / 1</v>
      </c>
      <c r="D40" s="1647">
        <f>'Part VI-Revenues &amp; Expenses'!F19</f>
        <v>690</v>
      </c>
      <c r="E40" s="4674">
        <f>'Part VI-Revenues &amp; Expenses'!H19</f>
        <v>649</v>
      </c>
      <c r="F40" s="4675"/>
      <c r="G40" s="1645"/>
      <c r="H40" s="4671"/>
      <c r="I40" s="4672"/>
      <c r="J40" s="4672"/>
      <c r="K40" s="4672"/>
      <c r="L40" s="4673"/>
    </row>
    <row r="41" spans="1:12" s="498" customFormat="1" ht="13.15" customHeight="1">
      <c r="A41" s="1646">
        <f>'Part VI-Revenues &amp; Expenses'!B20</f>
        <v>70</v>
      </c>
      <c r="B41" s="1647">
        <f>'Part VI-Revenues &amp; Expenses'!E20</f>
        <v>1</v>
      </c>
      <c r="C41" s="1648" t="str">
        <f>_xlfn.CONCAT('Part VI-Revenues &amp; Expenses'!C20," / ",'Part VI-Revenues &amp; Expenses'!D20)</f>
        <v>1 / 1</v>
      </c>
      <c r="D41" s="1647">
        <f>'Part VI-Revenues &amp; Expenses'!F20</f>
        <v>690</v>
      </c>
      <c r="E41" s="4674">
        <f>'Part VI-Revenues &amp; Expenses'!H20</f>
        <v>679</v>
      </c>
      <c r="F41" s="4675"/>
      <c r="G41" s="1645"/>
      <c r="H41" s="4671"/>
      <c r="I41" s="4672"/>
      <c r="J41" s="4672"/>
      <c r="K41" s="4672"/>
      <c r="L41" s="4673"/>
    </row>
    <row r="42" spans="1:12" s="498" customFormat="1" ht="13.15" customHeight="1">
      <c r="A42" s="1646">
        <f>'Part VI-Revenues &amp; Expenses'!B21</f>
        <v>50</v>
      </c>
      <c r="B42" s="1647">
        <f>'Part VI-Revenues &amp; Expenses'!E21</f>
        <v>12</v>
      </c>
      <c r="C42" s="1648" t="str">
        <f>_xlfn.CONCAT('Part VI-Revenues &amp; Expenses'!C21," / ",'Part VI-Revenues &amp; Expenses'!D21)</f>
        <v>2 / 1</v>
      </c>
      <c r="D42" s="1647">
        <f>'Part VI-Revenues &amp; Expenses'!F21</f>
        <v>891</v>
      </c>
      <c r="E42" s="4674">
        <f>'Part VI-Revenues &amp; Expenses'!H21</f>
        <v>654</v>
      </c>
      <c r="F42" s="4675"/>
      <c r="G42" s="1645"/>
      <c r="H42" s="4671"/>
      <c r="I42" s="4672"/>
      <c r="J42" s="4672"/>
      <c r="K42" s="4672"/>
      <c r="L42" s="4673"/>
    </row>
    <row r="43" spans="1:12" s="498" customFormat="1" ht="13.15" customHeight="1">
      <c r="A43" s="1646">
        <f>'Part VI-Revenues &amp; Expenses'!B22</f>
        <v>60</v>
      </c>
      <c r="B43" s="1647">
        <f>'Part VI-Revenues &amp; Expenses'!E22</f>
        <v>24</v>
      </c>
      <c r="C43" s="1648" t="str">
        <f>_xlfn.CONCAT('Part VI-Revenues &amp; Expenses'!C22," / ",'Part VI-Revenues &amp; Expenses'!D22)</f>
        <v>2 / 1</v>
      </c>
      <c r="D43" s="1647">
        <f>'Part VI-Revenues &amp; Expenses'!F22</f>
        <v>891</v>
      </c>
      <c r="E43" s="4674">
        <f>'Part VI-Revenues &amp; Expenses'!H22</f>
        <v>754</v>
      </c>
      <c r="F43" s="4675"/>
      <c r="G43" s="1645"/>
      <c r="H43" s="4671"/>
      <c r="I43" s="4672"/>
      <c r="J43" s="4672"/>
      <c r="K43" s="4672"/>
      <c r="L43" s="4673"/>
    </row>
    <row r="44" spans="1:12" s="498" customFormat="1" ht="13.15" customHeight="1">
      <c r="A44" s="1646">
        <f>'Part VI-Revenues &amp; Expenses'!B23</f>
        <v>70</v>
      </c>
      <c r="B44" s="1647">
        <f>'Part VI-Revenues &amp; Expenses'!E23</f>
        <v>4</v>
      </c>
      <c r="C44" s="1648" t="str">
        <f>_xlfn.CONCAT('Part VI-Revenues &amp; Expenses'!C23," / ",'Part VI-Revenues &amp; Expenses'!D23)</f>
        <v>2 / 1</v>
      </c>
      <c r="D44" s="1647">
        <f>'Part VI-Revenues &amp; Expenses'!F23</f>
        <v>891</v>
      </c>
      <c r="E44" s="4674">
        <f>'Part VI-Revenues &amp; Expenses'!H23</f>
        <v>779</v>
      </c>
      <c r="F44" s="4675"/>
      <c r="G44" s="1645"/>
      <c r="H44" s="4671"/>
      <c r="I44" s="4672"/>
      <c r="J44" s="4672"/>
      <c r="K44" s="4672"/>
      <c r="L44" s="4673"/>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4">
        <f>'Part VI-Revenues &amp; Expenses'!H24</f>
        <v>0</v>
      </c>
      <c r="F45" s="4675"/>
      <c r="G45" s="1645"/>
      <c r="H45" s="4671"/>
      <c r="I45" s="4672"/>
      <c r="J45" s="4672"/>
      <c r="K45" s="4672"/>
      <c r="L45" s="4673"/>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4">
        <f>'Part VI-Revenues &amp; Expenses'!H25</f>
        <v>0</v>
      </c>
      <c r="F46" s="4675"/>
      <c r="G46" s="1645"/>
      <c r="H46" s="4671"/>
      <c r="I46" s="4672"/>
      <c r="J46" s="4672"/>
      <c r="K46" s="4672"/>
      <c r="L46" s="4673"/>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4">
        <f>'Part VI-Revenues &amp; Expenses'!H26</f>
        <v>0</v>
      </c>
      <c r="F47" s="4675"/>
      <c r="G47" s="1645"/>
      <c r="H47" s="4671"/>
      <c r="I47" s="4672"/>
      <c r="J47" s="4672"/>
      <c r="K47" s="4672"/>
      <c r="L47" s="4673"/>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4">
        <f>'Part VI-Revenues &amp; Expenses'!H27</f>
        <v>0</v>
      </c>
      <c r="F48" s="4675"/>
      <c r="G48" s="1645"/>
      <c r="H48" s="4671"/>
      <c r="I48" s="4672"/>
      <c r="J48" s="4672"/>
      <c r="K48" s="4672"/>
      <c r="L48" s="4673"/>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4">
        <f>'Part VI-Revenues &amp; Expenses'!H28</f>
        <v>0</v>
      </c>
      <c r="F49" s="4675"/>
      <c r="G49" s="1645"/>
      <c r="H49" s="4671"/>
      <c r="I49" s="4672"/>
      <c r="J49" s="4672"/>
      <c r="K49" s="4672"/>
      <c r="L49" s="4673"/>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4">
        <f>'Part VI-Revenues &amp; Expenses'!H29</f>
        <v>0</v>
      </c>
      <c r="F50" s="4675"/>
      <c r="G50" s="1645"/>
      <c r="H50" s="4671"/>
      <c r="I50" s="4672"/>
      <c r="J50" s="4672"/>
      <c r="K50" s="4672"/>
      <c r="L50" s="4673"/>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4">
        <f>'Part VI-Revenues &amp; Expenses'!H30</f>
        <v>0</v>
      </c>
      <c r="F51" s="4675"/>
      <c r="G51" s="1645"/>
      <c r="H51" s="4671"/>
      <c r="I51" s="4672"/>
      <c r="J51" s="4672"/>
      <c r="K51" s="4672"/>
      <c r="L51" s="4673"/>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4">
        <f>'Part VI-Revenues &amp; Expenses'!H31</f>
        <v>0</v>
      </c>
      <c r="F52" s="4675"/>
      <c r="G52" s="1645"/>
      <c r="H52" s="4671"/>
      <c r="I52" s="4672"/>
      <c r="J52" s="4672"/>
      <c r="K52" s="4672"/>
      <c r="L52" s="4673"/>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4">
        <f>'Part VI-Revenues &amp; Expenses'!H32</f>
        <v>0</v>
      </c>
      <c r="F53" s="4675"/>
      <c r="G53" s="1645"/>
      <c r="H53" s="4671"/>
      <c r="I53" s="4672"/>
      <c r="J53" s="4672"/>
      <c r="K53" s="4672"/>
      <c r="L53" s="4673"/>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4">
        <f>'Part VI-Revenues &amp; Expenses'!H33</f>
        <v>0</v>
      </c>
      <c r="F54" s="4675"/>
      <c r="G54" s="1645"/>
      <c r="H54" s="4671"/>
      <c r="I54" s="4672"/>
      <c r="J54" s="4672"/>
      <c r="K54" s="4672"/>
      <c r="L54" s="4673"/>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4">
        <f>'Part VI-Revenues &amp; Expenses'!H34</f>
        <v>0</v>
      </c>
      <c r="F55" s="4675"/>
      <c r="G55" s="1645"/>
      <c r="H55" s="4671"/>
      <c r="I55" s="4672"/>
      <c r="J55" s="4672"/>
      <c r="K55" s="4672"/>
      <c r="L55" s="4673"/>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4">
        <f>'Part VI-Revenues &amp; Expenses'!H35</f>
        <v>0</v>
      </c>
      <c r="F56" s="4675"/>
      <c r="G56" s="1645"/>
      <c r="H56" s="4671"/>
      <c r="I56" s="4672"/>
      <c r="J56" s="4672"/>
      <c r="K56" s="4672"/>
      <c r="L56" s="4673"/>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4">
        <f>'Part VI-Revenues &amp; Expenses'!H36</f>
        <v>0</v>
      </c>
      <c r="F57" s="4675"/>
      <c r="G57" s="1645"/>
      <c r="H57" s="4671"/>
      <c r="I57" s="4672"/>
      <c r="J57" s="4672"/>
      <c r="K57" s="4672"/>
      <c r="L57" s="4673"/>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4">
        <f>'Part VI-Revenues &amp; Expenses'!H37</f>
        <v>0</v>
      </c>
      <c r="F58" s="4675"/>
      <c r="G58" s="1645"/>
      <c r="H58" s="4671"/>
      <c r="I58" s="4672"/>
      <c r="J58" s="4672"/>
      <c r="K58" s="4672"/>
      <c r="L58" s="4673"/>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4">
        <f>'Part VI-Revenues &amp; Expenses'!H38</f>
        <v>0</v>
      </c>
      <c r="F59" s="4675"/>
      <c r="G59" s="1645"/>
      <c r="H59" s="4671"/>
      <c r="I59" s="4672"/>
      <c r="J59" s="4672"/>
      <c r="K59" s="4672"/>
      <c r="L59" s="4673"/>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4">
        <f>'Part VI-Revenues &amp; Expenses'!H39</f>
        <v>0</v>
      </c>
      <c r="F60" s="4675"/>
      <c r="G60" s="1645"/>
      <c r="H60" s="4671"/>
      <c r="I60" s="4672"/>
      <c r="J60" s="4672"/>
      <c r="K60" s="4672"/>
      <c r="L60" s="4673"/>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4">
        <f>'Part VI-Revenues &amp; Expenses'!H40</f>
        <v>0</v>
      </c>
      <c r="F61" s="4675"/>
      <c r="G61" s="1645"/>
      <c r="H61" s="4671"/>
      <c r="I61" s="4672"/>
      <c r="J61" s="4672"/>
      <c r="K61" s="4672"/>
      <c r="L61" s="4673"/>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4">
        <f>'Part VI-Revenues &amp; Expenses'!H41</f>
        <v>0</v>
      </c>
      <c r="F62" s="4675"/>
      <c r="G62" s="1645"/>
      <c r="H62" s="4671"/>
      <c r="I62" s="4672"/>
      <c r="J62" s="4672"/>
      <c r="K62" s="4672"/>
      <c r="L62" s="4673"/>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4">
        <f>'Part VI-Revenues &amp; Expenses'!H42</f>
        <v>0</v>
      </c>
      <c r="F63" s="4675"/>
      <c r="G63" s="1645"/>
      <c r="H63" s="4671"/>
      <c r="I63" s="4672"/>
      <c r="J63" s="4672"/>
      <c r="K63" s="4672"/>
      <c r="L63" s="4673"/>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4">
        <f>'Part VI-Revenues &amp; Expenses'!H43</f>
        <v>0</v>
      </c>
      <c r="F64" s="4675"/>
      <c r="G64" s="1645"/>
      <c r="H64" s="4671"/>
      <c r="I64" s="4672"/>
      <c r="J64" s="4672"/>
      <c r="K64" s="4672"/>
      <c r="L64" s="4673"/>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4">
        <f>'Part VI-Revenues &amp; Expenses'!H44</f>
        <v>0</v>
      </c>
      <c r="F65" s="4675"/>
      <c r="G65" s="1645"/>
      <c r="H65" s="4671"/>
      <c r="I65" s="4672"/>
      <c r="J65" s="4672"/>
      <c r="K65" s="4672"/>
      <c r="L65" s="4673"/>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4">
        <f>'Part VI-Revenues &amp; Expenses'!H45</f>
        <v>0</v>
      </c>
      <c r="F66" s="4675"/>
      <c r="G66" s="1645"/>
      <c r="H66" s="4671"/>
      <c r="I66" s="4672"/>
      <c r="J66" s="4672"/>
      <c r="K66" s="4672"/>
      <c r="L66" s="4673"/>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4">
        <f>'Part VI-Revenues &amp; Expenses'!H46</f>
        <v>0</v>
      </c>
      <c r="F67" s="4675"/>
      <c r="G67" s="1645"/>
      <c r="H67" s="4671"/>
      <c r="I67" s="4672"/>
      <c r="J67" s="4672"/>
      <c r="K67" s="4672"/>
      <c r="L67" s="4673"/>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4">
        <f>'Part VI-Revenues &amp; Expenses'!H47</f>
        <v>0</v>
      </c>
      <c r="F68" s="4675"/>
      <c r="G68" s="1645"/>
      <c r="H68" s="4671"/>
      <c r="I68" s="4672"/>
      <c r="J68" s="4672"/>
      <c r="K68" s="4672"/>
      <c r="L68" s="4673"/>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5">
        <f>'Part VI-Revenues &amp; Expenses'!H48</f>
        <v>0</v>
      </c>
      <c r="F69" s="4706"/>
      <c r="G69" s="1652"/>
      <c r="H69" s="4679"/>
      <c r="I69" s="4680"/>
      <c r="J69" s="4680"/>
      <c r="K69" s="4680"/>
      <c r="L69" s="4681"/>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1" t="s">
        <v>3632</v>
      </c>
      <c r="C1" s="4721"/>
      <c r="D1" s="4721"/>
      <c r="E1" s="4721"/>
      <c r="F1" s="4721"/>
      <c r="G1" s="4721"/>
      <c r="H1" s="4721"/>
      <c r="I1" s="4721"/>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2" t="s">
        <v>3009</v>
      </c>
      <c r="C4" s="4722"/>
      <c r="D4" s="4722"/>
      <c r="E4" s="4727" t="s">
        <v>3010</v>
      </c>
      <c r="F4" s="4729"/>
      <c r="G4" s="4727" t="s">
        <v>587</v>
      </c>
      <c r="H4" s="4728"/>
      <c r="I4" s="4729"/>
      <c r="J4" s="1107" t="s">
        <v>2858</v>
      </c>
      <c r="K4" s="1107"/>
      <c r="L4" s="1115"/>
      <c r="M4" s="1115"/>
    </row>
    <row r="5" spans="2:13">
      <c r="B5" s="4723" t="str">
        <f>'Closing term sheet'!C8</f>
        <v>Sparrow Pointe Housing, LP</v>
      </c>
      <c r="C5" s="4724"/>
      <c r="D5" s="4724"/>
      <c r="E5" s="4733"/>
      <c r="F5" s="4734"/>
      <c r="G5" s="4730" t="str">
        <f>'Closing term sheet'!C28</f>
        <v>Sparrow Pointe</v>
      </c>
      <c r="H5" s="4731"/>
      <c r="I5" s="4732"/>
      <c r="K5" s="699"/>
    </row>
    <row r="6" spans="2:13" ht="4.5" customHeight="1">
      <c r="D6" s="1116"/>
      <c r="E6" s="1116"/>
      <c r="F6" s="1116"/>
      <c r="G6" s="1116"/>
      <c r="H6" s="1116"/>
      <c r="I6" s="1116"/>
      <c r="K6" s="699"/>
    </row>
    <row r="7" spans="2:13">
      <c r="B7" s="4716" t="s">
        <v>3011</v>
      </c>
      <c r="C7" s="4716"/>
      <c r="D7" s="1117"/>
      <c r="E7" s="1117"/>
      <c r="F7" s="1117"/>
      <c r="G7" s="1117"/>
      <c r="H7" s="4725">
        <f>'Preview term'!E9</f>
        <v>0</v>
      </c>
      <c r="I7" s="4726"/>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35" t="s">
        <v>3640</v>
      </c>
      <c r="I35" s="4736"/>
    </row>
    <row r="36" spans="2:9">
      <c r="B36" s="1144" t="s">
        <v>3639</v>
      </c>
      <c r="C36" s="1142"/>
      <c r="D36" s="1142"/>
      <c r="E36" s="1117"/>
      <c r="F36" s="1340"/>
      <c r="G36" s="1145"/>
      <c r="H36" s="4735"/>
      <c r="I36" s="4736"/>
    </row>
    <row r="37" spans="2:9">
      <c r="B37" s="1144" t="s">
        <v>3637</v>
      </c>
      <c r="D37" s="1142"/>
      <c r="E37" s="1117"/>
      <c r="F37" s="1341"/>
      <c r="G37" s="1145"/>
      <c r="H37" s="4735"/>
      <c r="I37" s="4736"/>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44" t="str">
        <f>'Closing term sheet'!$C$30</f>
        <v>1301 Martha Berry Blvd</v>
      </c>
      <c r="G48" s="4745"/>
      <c r="H48" s="4745"/>
      <c r="I48" s="4746"/>
    </row>
    <row r="49" spans="2:9">
      <c r="B49" s="1133" t="s">
        <v>3026</v>
      </c>
      <c r="D49" s="1142" t="s">
        <v>3027</v>
      </c>
      <c r="E49" s="1117"/>
      <c r="F49" s="4747"/>
      <c r="G49" s="4748"/>
      <c r="H49" s="4748"/>
      <c r="I49" s="4749"/>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12" t="str">
        <f>'Part I-Project Information'!F39</f>
        <v>Rome</v>
      </c>
      <c r="D52" s="4713"/>
      <c r="E52" s="1159" t="s">
        <v>3643</v>
      </c>
      <c r="F52" s="1119" t="s">
        <v>815</v>
      </c>
      <c r="G52" s="1159" t="s">
        <v>3644</v>
      </c>
      <c r="H52" s="1160">
        <f>'Part I-Project Information'!J39</f>
        <v>301651615</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8595508</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8" t="s">
        <v>3032</v>
      </c>
      <c r="C61" s="4719"/>
      <c r="D61" s="4719"/>
      <c r="E61" s="4719"/>
      <c r="F61" s="4719"/>
      <c r="G61" s="4719"/>
      <c r="H61" s="4719"/>
      <c r="I61" s="4720"/>
    </row>
    <row r="62" spans="2:9" ht="7.5" customHeight="1">
      <c r="B62" s="4714"/>
      <c r="C62" s="4715"/>
      <c r="D62" s="4715"/>
      <c r="E62" s="1117"/>
      <c r="F62" s="1117"/>
      <c r="G62" s="1167"/>
      <c r="H62" s="1117"/>
      <c r="I62" s="1127"/>
    </row>
    <row r="63" spans="2:9">
      <c r="B63" s="1168" t="s">
        <v>3034</v>
      </c>
      <c r="C63" s="1117"/>
      <c r="D63" s="1162">
        <v>4</v>
      </c>
      <c r="F63" s="1117"/>
      <c r="G63" s="4716" t="s">
        <v>3033</v>
      </c>
      <c r="H63" s="4716"/>
      <c r="I63" s="4717"/>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8" t="s">
        <v>3045</v>
      </c>
      <c r="C81" s="4719"/>
      <c r="D81" s="4719"/>
      <c r="E81" s="4719"/>
      <c r="F81" s="4719"/>
      <c r="G81" s="4719"/>
      <c r="H81" s="4719"/>
      <c r="I81" s="4720"/>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40">
        <f>'Closing term sheet'!D63</f>
        <v>8595508</v>
      </c>
      <c r="G84" s="4740"/>
      <c r="H84" s="1117"/>
      <c r="I84" s="1127"/>
    </row>
    <row r="85" spans="2:9">
      <c r="B85" s="1125"/>
      <c r="C85" s="739" t="s">
        <v>3048</v>
      </c>
      <c r="D85" s="1117"/>
      <c r="E85" s="1117"/>
      <c r="F85" s="4711">
        <f>'Part III-Sources of Funds'!I47+'Part III-Sources of Funds'!L47</f>
        <v>1715.0023289558494</v>
      </c>
      <c r="G85" s="4711"/>
      <c r="H85" s="1117"/>
      <c r="I85" s="1127"/>
    </row>
    <row r="86" spans="2:9">
      <c r="B86" s="1125"/>
      <c r="C86" s="739" t="s">
        <v>3049</v>
      </c>
      <c r="D86" s="1117"/>
      <c r="E86" s="1117"/>
      <c r="F86" s="4710"/>
      <c r="G86" s="4710"/>
      <c r="H86" s="1117"/>
      <c r="I86" s="1127"/>
    </row>
    <row r="87" spans="2:9">
      <c r="B87" s="1125"/>
      <c r="C87" s="1142" t="s">
        <v>3050</v>
      </c>
      <c r="D87" s="1117"/>
      <c r="E87" s="1117"/>
      <c r="F87" s="4711">
        <v>11000</v>
      </c>
      <c r="G87" s="4711"/>
      <c r="H87" s="1117"/>
      <c r="I87" s="1127"/>
    </row>
    <row r="88" spans="2:9">
      <c r="B88" s="1125"/>
      <c r="C88" s="739" t="s">
        <v>3051</v>
      </c>
      <c r="D88" s="1117"/>
      <c r="E88" s="1117"/>
      <c r="F88" s="4743"/>
      <c r="G88" s="4743"/>
      <c r="H88" s="1117"/>
      <c r="I88" s="1127"/>
    </row>
    <row r="89" spans="2:9">
      <c r="B89" s="1125"/>
      <c r="C89" s="719" t="s">
        <v>3052</v>
      </c>
      <c r="D89" s="1117"/>
      <c r="E89" s="1117"/>
      <c r="F89" s="4738">
        <f>SUM(F84:G88)</f>
        <v>8608223.0023289565</v>
      </c>
      <c r="G89" s="4738"/>
      <c r="H89" s="1117"/>
      <c r="I89" s="1127"/>
    </row>
    <row r="90" spans="2:9">
      <c r="B90" s="1125"/>
      <c r="C90" s="1117"/>
      <c r="D90" s="1117"/>
      <c r="E90" s="1117"/>
      <c r="F90" s="4739"/>
      <c r="G90" s="4739"/>
      <c r="H90" s="1117"/>
      <c r="I90" s="1127"/>
    </row>
    <row r="91" spans="2:9">
      <c r="B91" s="1128" t="s">
        <v>3053</v>
      </c>
      <c r="C91" s="1117"/>
      <c r="D91" s="1117"/>
      <c r="E91" s="1117"/>
      <c r="F91" s="1117"/>
      <c r="G91" s="1117"/>
      <c r="H91" s="1117"/>
      <c r="I91" s="1127"/>
    </row>
    <row r="92" spans="2:9">
      <c r="B92" s="1125"/>
      <c r="C92" s="739" t="s">
        <v>3054</v>
      </c>
      <c r="D92" s="1117"/>
      <c r="E92" s="1117"/>
      <c r="F92" s="4740"/>
      <c r="G92" s="4740"/>
      <c r="H92" s="1117"/>
      <c r="I92" s="1127"/>
    </row>
    <row r="93" spans="2:9">
      <c r="B93" s="1125"/>
      <c r="C93" s="739" t="s">
        <v>3055</v>
      </c>
      <c r="D93" s="1117"/>
      <c r="E93" s="1117"/>
      <c r="F93" s="4741"/>
      <c r="G93" s="4741"/>
      <c r="H93" s="1117"/>
      <c r="I93" s="1127"/>
    </row>
    <row r="94" spans="2:9">
      <c r="B94" s="1125"/>
      <c r="C94" s="739" t="s">
        <v>3056</v>
      </c>
      <c r="D94" s="1117"/>
      <c r="E94" s="1117"/>
      <c r="F94" s="4742" t="s">
        <v>2933</v>
      </c>
      <c r="G94" s="4737"/>
      <c r="H94" s="1117"/>
      <c r="I94" s="1127"/>
    </row>
    <row r="95" spans="2:9">
      <c r="B95" s="1125"/>
      <c r="C95" s="719" t="s">
        <v>3057</v>
      </c>
      <c r="D95" s="1117"/>
      <c r="E95" s="1117"/>
      <c r="F95" s="4738">
        <f>+SUM(F92:G94)</f>
        <v>0</v>
      </c>
      <c r="G95" s="4738"/>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40"/>
      <c r="G98" s="4740"/>
      <c r="H98" s="1117"/>
      <c r="I98" s="1127"/>
    </row>
    <row r="99" spans="2:9">
      <c r="B99" s="1125"/>
      <c r="C99" s="739" t="s">
        <v>3060</v>
      </c>
      <c r="D99" s="1117"/>
      <c r="E99" s="1117"/>
      <c r="F99" s="4741"/>
      <c r="G99" s="4741"/>
      <c r="H99" s="1117"/>
      <c r="I99" s="1127"/>
    </row>
    <row r="100" spans="2:9">
      <c r="B100" s="1125"/>
      <c r="C100" s="739" t="s">
        <v>3061</v>
      </c>
      <c r="D100" s="1117"/>
      <c r="E100" s="1117"/>
      <c r="F100" s="4743"/>
      <c r="G100" s="4743"/>
      <c r="H100" s="1117"/>
      <c r="I100" s="1127"/>
    </row>
    <row r="101" spans="2:9">
      <c r="B101" s="1125"/>
      <c r="C101" s="719" t="s">
        <v>3062</v>
      </c>
      <c r="D101" s="1117"/>
      <c r="E101" s="1117"/>
      <c r="F101" s="4738">
        <f>+SUM(F98:G100)</f>
        <v>0</v>
      </c>
      <c r="G101" s="4738"/>
      <c r="H101" s="1117"/>
      <c r="I101" s="1127"/>
    </row>
    <row r="102" spans="2:9">
      <c r="B102" s="1125"/>
      <c r="C102" s="1117"/>
      <c r="D102" s="1117"/>
      <c r="E102" s="1117"/>
      <c r="F102" s="1117"/>
      <c r="G102" s="1117"/>
      <c r="H102" s="1117"/>
      <c r="I102" s="1127"/>
    </row>
    <row r="103" spans="2:9">
      <c r="B103" s="1168" t="s">
        <v>3063</v>
      </c>
      <c r="C103" s="739"/>
      <c r="D103" s="1117"/>
      <c r="E103" s="1117"/>
      <c r="F103" s="4737">
        <f>'Part III-Sources of Funds'!I48+'Part III-Sources of Funds'!I49</f>
        <v>0</v>
      </c>
      <c r="G103" s="4737"/>
      <c r="H103" s="1117"/>
      <c r="I103" s="1127"/>
    </row>
    <row r="104" spans="2:9">
      <c r="B104" s="1125"/>
      <c r="C104" s="1117"/>
      <c r="D104" s="1117"/>
      <c r="E104" s="1117"/>
      <c r="F104" s="1117"/>
      <c r="G104" s="1117"/>
      <c r="H104" s="1117"/>
      <c r="I104" s="1173" t="s">
        <v>3064</v>
      </c>
    </row>
    <row r="105" spans="2:9">
      <c r="B105" s="1128" t="s">
        <v>3065</v>
      </c>
      <c r="C105" s="1117"/>
      <c r="D105" s="1117"/>
      <c r="E105" s="1117"/>
      <c r="F105" s="4737">
        <f>+F103+F101+F95+F89</f>
        <v>8608223.0023289565</v>
      </c>
      <c r="G105" s="4737"/>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A1294" zoomScale="118" zoomScaleNormal="118" workbookViewId="0">
      <selection activeCell="A1294" sqref="A1:XFD1048576"/>
    </sheetView>
  </sheetViews>
  <sheetFormatPr defaultColWidth="9.140625" defaultRowHeight="12.75"/>
  <cols>
    <col min="1" max="1" width="9.7109375" style="1925" bestFit="1" customWidth="1"/>
    <col min="2" max="3" width="10.85546875" style="1925" bestFit="1" customWidth="1"/>
    <col min="4" max="6" width="10.14062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Sparrow Pointe</v>
      </c>
    </row>
    <row r="3" spans="1:6" s="1853" customFormat="1" ht="15" customHeight="1">
      <c r="A3" s="1854" t="str">
        <f>CONCATENATE('Part I-Project Information'!F39,", ", 'Part I-Project Information'!J40," County")</f>
        <v>Rome, Floyd County</v>
      </c>
    </row>
    <row r="4" spans="1:6" s="1853" customFormat="1" ht="12" customHeight="1"/>
    <row r="5" spans="1:6" s="1853" customFormat="1" ht="12.75" customHeight="1">
      <c r="A5" s="1855" t="str">
        <f>'Project Narrative'!A5</f>
        <v xml:space="preserve">Sparrow Pointe 
1301 Martha Berry Blvd., Rome, GA 30165, Floyd County 
Project Narrative
Sparrow Pointe is a proposed 50-unit new construction development. It will consist of a 4-story elevator-serviced building that will be age-restricted for residents 55+. The development will utilize the Income Averaging set-aside and will contain Forty-five (45) of the units will be restricted to a resident base for households at or below 50% and 60% of the AMI. Five (5) units will be available to households at or below 70% of the AMI.
This proposed development will meet the demand for affordable housing for residents 55 and over, and will have many design features, services, and amenities for such households including a fenced community garden.This proposed site is located in close proximity to community amenities, including retail, restaurants, medical, recreation, education, and entertainment – ideal for the proposed tenant population. Public transportation is available within a short walking distance. Sparrow Pointe will achieve a number of valuable goals and benefits for the community and will be an EarthCraft Multifamily certified community.
The Developer, Birdsong Housing has engaged South Rome Redevelopment Corporation as consultant to empower their Community Transformation Plan by serving as the Community Based Developer.  For 20 years, South Rome Redevelopment Corporation has served the citizens of Rome through local partnerships with service providers in education, health, transportation, and workforce coupled with the continued support by the City of Rome’s dedication to revitalize the community.  The Community Quarterback board consists of a dynamic group of individuals who are driven to create a successful and meaningful Community Transformation Plan for the community where they live and work.  The Community Improvement Fund will be utilized to activate improvements to the Defined Neighborhood with the direction of community engagement.
The Developer and sole member of the General Partner for the Rome Project Team is DDER Development, LLC of Kissimmee, Florida. Principal Deion Lowery has served as Principal, General Partner, Developer and General Contractor for a broad spectrum of Multi-Family Housing communities including:  Luxury, Affordable, Student, Low Income and Elderly Housing for both new construction and substantial rehabs.These projects were extensive in scope and all were completed on time and within budget. Mr. Lowery has served as Developer for multiple LIHTC (both 9% and 4% bond structures), SAIL, HUD221 (D4), Freddie Mac, and conventional projects totaling over $100 million. Mr. Lowery’s multi-family experience exceeds $200 million, including both new construction and extensive rehab projects serving as the developer and/or both general contractor.  </v>
      </c>
      <c r="B5" s="1856" t="s">
        <v>4080</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6281</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7075</v>
      </c>
      <c r="L30" s="1858"/>
      <c r="P30" s="1861" t="s">
        <v>3428</v>
      </c>
      <c r="Z30" s="1858">
        <v>6</v>
      </c>
    </row>
    <row r="31" spans="1:26" s="1857" customFormat="1" ht="12" customHeight="1">
      <c r="B31" s="1862" t="str">
        <f>'Part I-Project Information'!B7</f>
        <v>2021 Core Application</v>
      </c>
      <c r="C31" s="1863"/>
      <c r="D31" s="1863"/>
      <c r="E31" s="1818"/>
      <c r="F31" s="1858"/>
      <c r="G31" s="1860" t="s">
        <v>7076</v>
      </c>
      <c r="H31" s="1858"/>
      <c r="I31" s="1858"/>
      <c r="J31" s="1858"/>
      <c r="O31" s="1864" t="str">
        <f>'Part I-Project Information'!O7</f>
        <v>2021-050</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3402</v>
      </c>
      <c r="I34" s="1867">
        <f>'Part IV-A-Uses of Funds'!$J$197</f>
        <v>998900</v>
      </c>
      <c r="J34" s="1867"/>
      <c r="L34" s="1857" t="s">
        <v>3403</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3346</v>
      </c>
      <c r="J36" s="1857" t="s">
        <v>7077</v>
      </c>
      <c r="L36" s="1858"/>
      <c r="O36" s="1864" t="str">
        <f>'Part I-Project Information'!O12</f>
        <v>2021PA-042</v>
      </c>
      <c r="P36" s="1864"/>
      <c r="Z36" s="1858">
        <v>12</v>
      </c>
    </row>
    <row r="37" spans="1:26" s="1857" customFormat="1" ht="12.75" customHeight="1">
      <c r="A37" s="1858"/>
      <c r="B37" s="1866"/>
      <c r="C37" s="1866"/>
      <c r="D37" s="1866"/>
      <c r="E37" s="1866"/>
      <c r="H37" s="1858"/>
      <c r="J37" s="1860" t="s">
        <v>7014</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4285</v>
      </c>
      <c r="C39" s="1866"/>
      <c r="D39" s="1866"/>
      <c r="E39" s="1866"/>
      <c r="F39" s="1872" t="str">
        <f>'Part I-Project Information'!F15</f>
        <v>Yes</v>
      </c>
      <c r="G39" s="1859" t="s">
        <v>4286</v>
      </c>
      <c r="N39" s="1870" t="str">
        <f>'Part I-Project Information'!N15</f>
        <v>9% Credit Competitive Round only</v>
      </c>
      <c r="O39" s="1870"/>
      <c r="P39" s="1870"/>
      <c r="Z39" s="1858">
        <v>15</v>
      </c>
    </row>
    <row r="40" spans="1:26" s="1857" customFormat="1" ht="12.75" customHeight="1">
      <c r="A40" s="1858"/>
      <c r="B40" s="1857" t="s">
        <v>4279</v>
      </c>
      <c r="F40" s="1873" t="str">
        <f>'Part I-Project Information'!F16</f>
        <v>Sparrow Pointe</v>
      </c>
      <c r="G40" s="1873"/>
      <c r="H40" s="1873"/>
      <c r="I40" s="1873"/>
      <c r="J40" s="1857" t="s">
        <v>4117</v>
      </c>
      <c r="L40" s="1864" t="str">
        <f>'Part I-Project Information'!L16</f>
        <v>2020-030</v>
      </c>
      <c r="M40" s="1864"/>
      <c r="N40" s="1857" t="s">
        <v>4116</v>
      </c>
      <c r="P40" s="1874" t="str">
        <f>'Part I-Project Information'!P16</f>
        <v>No</v>
      </c>
      <c r="Z40" s="1858">
        <v>16</v>
      </c>
    </row>
    <row r="41" spans="1:26" s="1857" customFormat="1" ht="12.75" customHeight="1">
      <c r="A41" s="1858"/>
      <c r="B41" s="1857" t="s">
        <v>3401</v>
      </c>
      <c r="F41" s="1872" t="str">
        <f>'Part I-Project Information'!F17</f>
        <v>No</v>
      </c>
      <c r="G41" s="1857" t="s">
        <v>4075</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DDER Development, LLC</v>
      </c>
      <c r="G45" s="1864"/>
      <c r="H45" s="1864"/>
      <c r="I45" s="1857" t="s">
        <v>1716</v>
      </c>
      <c r="J45" s="1864" t="str">
        <f>'Part I-Project Information'!J21</f>
        <v>Deion Lowery</v>
      </c>
      <c r="K45" s="1864"/>
      <c r="L45" s="1864"/>
      <c r="M45" s="1859" t="s">
        <v>1890</v>
      </c>
      <c r="N45" s="1864" t="str">
        <f>'Part I-Project Information'!N21</f>
        <v>Principal</v>
      </c>
      <c r="O45" s="1864"/>
      <c r="P45" s="1864"/>
      <c r="Z45" s="1858">
        <v>21</v>
      </c>
    </row>
    <row r="46" spans="1:26" s="1857" customFormat="1" ht="13.35" customHeight="1">
      <c r="B46" s="1859" t="s">
        <v>1891</v>
      </c>
      <c r="F46" s="1864" t="str">
        <f>'Part I-Project Information'!F22</f>
        <v>2700 Westhall Lane, Ste 200</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Maitland</v>
      </c>
      <c r="G47" s="1864"/>
      <c r="H47" s="1864"/>
      <c r="I47" s="1859" t="s">
        <v>1717</v>
      </c>
      <c r="J47" s="1877" t="str">
        <f>'Part I-Project Information'!J23</f>
        <v>FL</v>
      </c>
      <c r="M47" s="1876"/>
      <c r="N47" s="1876"/>
      <c r="O47" s="1876"/>
      <c r="P47" s="1876"/>
      <c r="Z47" s="1858">
        <v>23</v>
      </c>
    </row>
    <row r="48" spans="1:26" s="1857" customFormat="1" ht="13.35" customHeight="1">
      <c r="B48" s="1859" t="s">
        <v>2128</v>
      </c>
      <c r="F48" s="1878">
        <f>'Part I-Project Information'!F24</f>
        <v>327517473</v>
      </c>
      <c r="G48" s="1878"/>
      <c r="H48" s="1878"/>
      <c r="I48" s="1859" t="s">
        <v>1643</v>
      </c>
      <c r="J48" s="1879">
        <f>'Part I-Project Information'!J24</f>
        <v>4073412830</v>
      </c>
      <c r="K48" s="1879"/>
      <c r="L48" s="1858" t="s">
        <v>1642</v>
      </c>
      <c r="M48" s="1880">
        <f>'Part I-Project Information'!M24</f>
        <v>0</v>
      </c>
      <c r="N48" s="1859" t="s">
        <v>1644</v>
      </c>
      <c r="O48" s="1879">
        <f>'Part I-Project Information'!O24</f>
        <v>4073412830</v>
      </c>
      <c r="P48" s="1879"/>
      <c r="Z48" s="1858">
        <v>24</v>
      </c>
    </row>
    <row r="49" spans="1:26" s="1857" customFormat="1" ht="13.35" customHeight="1">
      <c r="B49" s="1859" t="s">
        <v>1894</v>
      </c>
      <c r="F49" s="1864" t="str">
        <f>'Part I-Project Information'!F25</f>
        <v>mgreenwood@birdsonghousing.com</v>
      </c>
      <c r="G49" s="1864"/>
      <c r="H49" s="1864"/>
      <c r="I49" s="1864"/>
      <c r="J49" s="1864"/>
      <c r="K49" s="1864"/>
      <c r="N49" s="1859" t="s">
        <v>1889</v>
      </c>
      <c r="O49" s="1879">
        <f>'Part I-Project Information'!O25</f>
        <v>0</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DDER Development, LLC</v>
      </c>
      <c r="G51" s="1864"/>
      <c r="H51" s="1864"/>
      <c r="I51" s="1857" t="s">
        <v>1716</v>
      </c>
      <c r="J51" s="1864" t="str">
        <f>'Part I-Project Information'!J27</f>
        <v>Steve Auger</v>
      </c>
      <c r="K51" s="1864"/>
      <c r="L51" s="1864"/>
      <c r="M51" s="1859" t="s">
        <v>1890</v>
      </c>
      <c r="N51" s="1864" t="str">
        <f>'Part I-Project Information'!N27</f>
        <v>CEO</v>
      </c>
      <c r="O51" s="1864"/>
      <c r="P51" s="1864"/>
      <c r="Z51" s="1858">
        <v>27</v>
      </c>
    </row>
    <row r="52" spans="1:26" s="1857" customFormat="1" ht="13.35" customHeight="1">
      <c r="B52" s="1859" t="s">
        <v>1891</v>
      </c>
      <c r="F52" s="1864" t="str">
        <f>'Part I-Project Information'!F28</f>
        <v>2700 Westhall Lane, Ste 200</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Maitland</v>
      </c>
      <c r="G53" s="1864"/>
      <c r="H53" s="1864"/>
      <c r="I53" s="1859" t="s">
        <v>1717</v>
      </c>
      <c r="J53" s="1877" t="str">
        <f>'Part I-Project Information'!J29</f>
        <v>FL</v>
      </c>
      <c r="M53" s="1876"/>
      <c r="N53" s="1876"/>
      <c r="O53" s="1876"/>
      <c r="P53" s="1876"/>
      <c r="Z53" s="1869">
        <v>29</v>
      </c>
    </row>
    <row r="54" spans="1:26" s="1857" customFormat="1" ht="13.35" customHeight="1">
      <c r="B54" s="1859" t="s">
        <v>2128</v>
      </c>
      <c r="F54" s="1878">
        <f>'Part I-Project Information'!F30</f>
        <v>327517473</v>
      </c>
      <c r="G54" s="1878"/>
      <c r="H54" s="1878"/>
      <c r="I54" s="1859" t="s">
        <v>1643</v>
      </c>
      <c r="J54" s="1879">
        <f>'Part I-Project Information'!J30</f>
        <v>8505970851</v>
      </c>
      <c r="K54" s="1879"/>
      <c r="L54" s="1858" t="s">
        <v>1642</v>
      </c>
      <c r="M54" s="1880">
        <f>'Part I-Project Information'!M30</f>
        <v>0</v>
      </c>
      <c r="N54" s="1859" t="s">
        <v>1644</v>
      </c>
      <c r="O54" s="1879">
        <f>'Part I-Project Information'!O30</f>
        <v>8505970851</v>
      </c>
      <c r="P54" s="1879"/>
      <c r="Z54" s="1858">
        <v>30</v>
      </c>
    </row>
    <row r="55" spans="1:26" s="1857" customFormat="1" ht="13.35" customHeight="1">
      <c r="B55" s="1859" t="s">
        <v>1894</v>
      </c>
      <c r="F55" s="1864" t="str">
        <f>'Part I-Project Information'!F31</f>
        <v>steve.auger@birdsonghousing.com</v>
      </c>
      <c r="G55" s="1864"/>
      <c r="H55" s="1864"/>
      <c r="I55" s="1864"/>
      <c r="J55" s="1864"/>
      <c r="K55" s="1864"/>
      <c r="N55" s="1859" t="s">
        <v>1889</v>
      </c>
      <c r="O55" s="1879">
        <f>'Part I-Project Information'!O31</f>
        <v>0</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Sparrow Pointe</v>
      </c>
      <c r="G59" s="1873"/>
      <c r="H59" s="1873"/>
      <c r="I59" s="1873"/>
      <c r="J59" s="1873"/>
      <c r="K59" s="1873"/>
      <c r="L59" s="1859" t="s">
        <v>2097</v>
      </c>
      <c r="O59" s="1864" t="str">
        <f>'Part I-Project Information'!O35</f>
        <v>No</v>
      </c>
      <c r="P59" s="1864"/>
      <c r="Z59" s="1858">
        <v>35</v>
      </c>
    </row>
    <row r="60" spans="1:26" s="1857" customFormat="1" ht="13.35" customHeight="1">
      <c r="A60" s="1861"/>
      <c r="B60" s="1857" t="s">
        <v>2548</v>
      </c>
      <c r="D60" s="1861"/>
      <c r="F60" s="1873" t="str">
        <f>'Part I-Project Information'!F36</f>
        <v>1301 Martha Berry Blvd</v>
      </c>
      <c r="G60" s="1873"/>
      <c r="H60" s="1873"/>
      <c r="I60" s="1873"/>
      <c r="J60" s="1873"/>
      <c r="K60" s="1873"/>
      <c r="L60" s="1857" t="s">
        <v>3321</v>
      </c>
      <c r="O60" s="1864">
        <f>'Part I-Project Information'!O36</f>
        <v>0</v>
      </c>
      <c r="P60" s="1864"/>
      <c r="Z60" s="1858">
        <v>36</v>
      </c>
    </row>
    <row r="61" spans="1:26" s="1857" customFormat="1" ht="13.35" customHeight="1">
      <c r="A61" s="1861"/>
      <c r="B61" s="1857" t="s">
        <v>7015</v>
      </c>
      <c r="D61" s="1861"/>
      <c r="F61" s="1873" t="str">
        <f>'Part I-Project Information'!F37</f>
        <v>1388 Martha Berry Blvd NE, Rome, GA 30165</v>
      </c>
      <c r="G61" s="1873"/>
      <c r="H61" s="1873"/>
      <c r="I61" s="1873"/>
      <c r="J61" s="1873"/>
      <c r="K61" s="1873"/>
      <c r="L61" s="1859" t="s">
        <v>1958</v>
      </c>
      <c r="N61" s="1880" t="str">
        <f>'Part I-Project Information'!N37</f>
        <v>No</v>
      </c>
      <c r="O61" s="1858" t="s">
        <v>3320</v>
      </c>
      <c r="P61" s="1880">
        <f>'Part I-Project Information'!P37</f>
        <v>0</v>
      </c>
      <c r="Z61" s="1858">
        <v>37</v>
      </c>
    </row>
    <row r="62" spans="1:26" s="1857" customFormat="1" ht="13.35" customHeight="1">
      <c r="A62" s="1861"/>
      <c r="B62" s="1857" t="s">
        <v>3362</v>
      </c>
      <c r="D62" s="1861"/>
      <c r="F62" s="1857" t="s">
        <v>3347</v>
      </c>
      <c r="G62" s="1882">
        <f>'Part I-Project Information'!G38</f>
        <v>34.266750000000002</v>
      </c>
      <c r="H62" s="1882"/>
      <c r="I62" s="1858" t="s">
        <v>3348</v>
      </c>
      <c r="J62" s="1882">
        <f>'Part I-Project Information'!J38</f>
        <v>-85.180031</v>
      </c>
      <c r="K62" s="1882"/>
      <c r="L62" s="1859" t="s">
        <v>2180</v>
      </c>
      <c r="O62" s="1883">
        <f>'Part I-Project Information'!O38</f>
        <v>7.1</v>
      </c>
      <c r="P62" s="1883"/>
      <c r="Z62" s="1869">
        <v>38</v>
      </c>
    </row>
    <row r="63" spans="1:26" s="1857" customFormat="1" ht="13.35" customHeight="1">
      <c r="A63" s="1858"/>
      <c r="B63" s="1857" t="s">
        <v>588</v>
      </c>
      <c r="F63" s="1864" t="str">
        <f>'Part I-Project Information'!F39</f>
        <v>Rome</v>
      </c>
      <c r="G63" s="1864"/>
      <c r="H63" s="1864"/>
      <c r="I63" s="1884" t="s">
        <v>7078</v>
      </c>
      <c r="J63" s="1878">
        <f>'Part I-Project Information'!J39</f>
        <v>301651615</v>
      </c>
      <c r="K63" s="1878"/>
      <c r="L63" s="1857" t="str">
        <f>IF(AND(NOT(F59=""),NOT(F63="Select from list"),J63=""),"Enter Zip!","")</f>
        <v/>
      </c>
      <c r="M63" s="1885" t="s">
        <v>2693</v>
      </c>
      <c r="O63" s="1886" t="str">
        <f>'Part I-Project Information'!O39</f>
        <v>13115001100</v>
      </c>
      <c r="P63" s="1887"/>
      <c r="Z63" s="1858">
        <v>39</v>
      </c>
    </row>
    <row r="64" spans="1:26" s="1857" customFormat="1" ht="13.35" customHeight="1">
      <c r="A64" s="1858"/>
      <c r="B64" s="1857" t="s">
        <v>4096</v>
      </c>
      <c r="F64" s="1864" t="str">
        <f>'Part I-Project Information'!F40</f>
        <v>City Limits</v>
      </c>
      <c r="G64" s="1864"/>
      <c r="H64" s="1864"/>
      <c r="I64" s="1888" t="s">
        <v>589</v>
      </c>
      <c r="J64" s="1873" t="str">
        <f>'Part I-Project Information'!J40</f>
        <v>Floyd</v>
      </c>
      <c r="K64" s="1873"/>
      <c r="M64" s="1859" t="s">
        <v>431</v>
      </c>
      <c r="N64" s="1874" t="str">
        <f>'Part I-Project Information'!N40</f>
        <v>Yes</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2610</v>
      </c>
      <c r="K65" s="1858" t="str">
        <f>'Part I-Project Information'!K41</f>
        <v>Urban</v>
      </c>
      <c r="M65" s="1859" t="s">
        <v>2487</v>
      </c>
      <c r="N65" s="1858" t="str">
        <f>'Part I-Project Information'!N41</f>
        <v>MSA</v>
      </c>
      <c r="O65" s="1864" t="str">
        <f>'Part I-Project Information'!O41</f>
        <v>Rome</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7079</v>
      </c>
      <c r="F67" s="1866" t="s">
        <v>2592</v>
      </c>
      <c r="G67" s="1866"/>
      <c r="H67" s="1857" t="s">
        <v>706</v>
      </c>
      <c r="J67" s="1857" t="s">
        <v>707</v>
      </c>
      <c r="L67" s="1891" t="s">
        <v>7080</v>
      </c>
      <c r="Z67" s="1858">
        <v>43</v>
      </c>
    </row>
    <row r="68" spans="1:26" s="1857" customFormat="1" ht="13.35" customHeight="1">
      <c r="A68" s="1858"/>
      <c r="B68" s="1857" t="s">
        <v>7016</v>
      </c>
      <c r="F68" s="1892">
        <f>'Part I-Project Information'!F44</f>
        <v>14</v>
      </c>
      <c r="G68" s="1892"/>
      <c r="H68" s="1892">
        <f>'Part I-Project Information'!H44</f>
        <v>52</v>
      </c>
      <c r="I68" s="1892"/>
      <c r="J68" s="1892">
        <f>'Part I-Project Information'!J44</f>
        <v>13</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Rome</v>
      </c>
      <c r="G71" s="1895"/>
      <c r="H71" s="1895"/>
      <c r="I71" s="1895"/>
      <c r="J71" s="1895"/>
      <c r="K71" s="1895"/>
      <c r="L71" s="1896" t="s">
        <v>2553</v>
      </c>
      <c r="M71" s="1864" t="str">
        <f>'Part I-Project Information'!M47</f>
        <v>www.romefloyd.com</v>
      </c>
      <c r="N71" s="1864"/>
      <c r="O71" s="1864"/>
      <c r="P71" s="1864"/>
      <c r="Z71" s="1869">
        <v>47</v>
      </c>
    </row>
    <row r="72" spans="1:26" s="1857" customFormat="1" ht="13.35" customHeight="1">
      <c r="A72" s="1858"/>
      <c r="B72" s="1857" t="s">
        <v>608</v>
      </c>
      <c r="F72" s="1895" t="str">
        <f>'Part I-Project Information'!F48</f>
        <v>Craig McDaniel</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601 Broad Street</v>
      </c>
      <c r="G73" s="1895"/>
      <c r="H73" s="1895"/>
      <c r="I73" s="1895"/>
      <c r="J73" s="1895"/>
      <c r="K73" s="1895"/>
      <c r="L73" s="1859" t="s">
        <v>588</v>
      </c>
      <c r="M73" s="1895" t="str">
        <f>'Part I-Project Information'!M49</f>
        <v>Rome</v>
      </c>
      <c r="N73" s="1895"/>
      <c r="O73" s="1895"/>
      <c r="P73" s="1895"/>
      <c r="Z73" s="1858">
        <v>49</v>
      </c>
    </row>
    <row r="74" spans="1:26" s="1857" customFormat="1" ht="13.35" customHeight="1">
      <c r="A74" s="1858"/>
      <c r="B74" s="1859" t="s">
        <v>2128</v>
      </c>
      <c r="F74" s="1878">
        <f>'Part I-Project Information'!F50</f>
        <v>301610000</v>
      </c>
      <c r="G74" s="1878"/>
      <c r="H74" s="1858" t="s">
        <v>1892</v>
      </c>
      <c r="I74" s="1879">
        <f>'Part I-Project Information'!I50</f>
        <v>7062910208</v>
      </c>
      <c r="J74" s="1879"/>
      <c r="K74" s="1879"/>
      <c r="L74" s="1859" t="s">
        <v>1718</v>
      </c>
      <c r="M74" s="1895" t="str">
        <f>'Part I-Project Information'!M50</f>
        <v>cmcdaniel@romega.us</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7017</v>
      </c>
      <c r="K78" s="1865"/>
      <c r="M78" s="1893"/>
      <c r="N78" s="1893"/>
      <c r="O78" s="1893"/>
      <c r="P78" s="1893"/>
      <c r="Q78" s="1858"/>
      <c r="Z78" s="1858">
        <v>54</v>
      </c>
    </row>
    <row r="79" spans="1:26" s="1866" customFormat="1" ht="13.35" customHeight="1">
      <c r="B79" s="1858"/>
      <c r="C79" s="1857" t="s">
        <v>2192</v>
      </c>
      <c r="D79" s="1857"/>
      <c r="E79" s="1857"/>
      <c r="H79" s="1898">
        <f>'Part I-Project Information'!H55</f>
        <v>50</v>
      </c>
      <c r="K79" s="1859" t="s">
        <v>3313</v>
      </c>
      <c r="L79" s="1857"/>
      <c r="M79" s="1899" t="s">
        <v>3312</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3257</v>
      </c>
      <c r="J85" s="1861" t="s">
        <v>2021</v>
      </c>
      <c r="K85" s="1866" t="s">
        <v>2198</v>
      </c>
      <c r="P85" s="1858"/>
      <c r="Q85" s="1858"/>
      <c r="R85" s="1858"/>
      <c r="Z85" s="1858">
        <v>61</v>
      </c>
    </row>
    <row r="86" spans="1:26" s="1857" customFormat="1" ht="13.35" customHeight="1">
      <c r="A86" s="1858"/>
      <c r="B86" s="1904"/>
      <c r="C86" s="1866" t="s">
        <v>2174</v>
      </c>
      <c r="H86" s="1898">
        <f>'Part I-Project Information'!H62</f>
        <v>50</v>
      </c>
      <c r="I86" s="1905">
        <f>'Part VI-Revenues &amp; Expenses'!$P$100</f>
        <v>0</v>
      </c>
      <c r="J86" s="1858"/>
      <c r="K86" s="1866" t="s">
        <v>2600</v>
      </c>
      <c r="P86" s="1898">
        <f>'Part I-Project Information'!P62</f>
        <v>42540</v>
      </c>
      <c r="Z86" s="1858">
        <v>62</v>
      </c>
    </row>
    <row r="87" spans="1:26" s="1857" customFormat="1" ht="13.35" customHeight="1">
      <c r="A87" s="1858"/>
      <c r="C87" s="1866" t="s">
        <v>242</v>
      </c>
      <c r="H87" s="1898">
        <f>'Part I-Project Information'!H63</f>
        <v>0</v>
      </c>
      <c r="J87" s="1858"/>
      <c r="K87" s="1866" t="s">
        <v>2601</v>
      </c>
      <c r="P87" s="1898">
        <f>'Part I-Project Information'!P63</f>
        <v>0</v>
      </c>
      <c r="Z87" s="1858">
        <v>63</v>
      </c>
    </row>
    <row r="88" spans="1:26" s="1857" customFormat="1" ht="13.35" customHeight="1">
      <c r="A88" s="1858"/>
      <c r="C88" s="1866" t="s">
        <v>2297</v>
      </c>
      <c r="H88" s="1898">
        <f>'Part I-Project Information'!H64</f>
        <v>50</v>
      </c>
      <c r="J88" s="1858"/>
      <c r="K88" s="1866" t="s">
        <v>2602</v>
      </c>
      <c r="P88" s="1898">
        <f>'Part I-Project Information'!P64</f>
        <v>42540</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50</v>
      </c>
      <c r="K90" s="1866" t="s">
        <v>1369</v>
      </c>
      <c r="P90" s="1898">
        <f>'Part I-Project Information'!P66</f>
        <v>42540</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1</v>
      </c>
      <c r="I93" s="1880">
        <f>'Part I-Project Information'!I69</f>
        <v>0</v>
      </c>
      <c r="K93" s="1866" t="s">
        <v>7081</v>
      </c>
      <c r="P93" s="1880">
        <f>'Part I-Project Information'!P69</f>
        <v>13585</v>
      </c>
      <c r="Z93" s="1858">
        <v>69</v>
      </c>
    </row>
    <row r="94" spans="1:26" s="1857" customFormat="1" ht="13.35" customHeight="1">
      <c r="A94" s="1858"/>
      <c r="B94" s="1858"/>
      <c r="D94" s="1904" t="s">
        <v>1907</v>
      </c>
      <c r="H94" s="1880">
        <f>'Part I-Project Information'!H70</f>
        <v>0</v>
      </c>
      <c r="I94" s="1880">
        <f>'Part I-Project Information'!I70</f>
        <v>0</v>
      </c>
      <c r="K94" s="1866" t="s">
        <v>241</v>
      </c>
      <c r="P94" s="1905">
        <f>+P90+P93</f>
        <v>56125</v>
      </c>
      <c r="Z94" s="1858">
        <v>70</v>
      </c>
    </row>
    <row r="95" spans="1:26" s="1857" customFormat="1" ht="13.35" customHeight="1">
      <c r="A95" s="1858"/>
      <c r="B95" s="1858"/>
      <c r="D95" s="1904" t="s">
        <v>1908</v>
      </c>
      <c r="H95" s="1905">
        <f>+H93+H94</f>
        <v>1</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75</v>
      </c>
      <c r="K97" s="1906" t="s">
        <v>6776</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7082</v>
      </c>
      <c r="D101" s="1904"/>
      <c r="E101" s="1907" t="s">
        <v>6602</v>
      </c>
      <c r="G101" s="1858"/>
      <c r="H101" s="1864" t="str">
        <f>'Part I-Project Information'!H77</f>
        <v>HFOP</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6603</v>
      </c>
      <c r="K103" s="1908" t="s">
        <v>4024</v>
      </c>
      <c r="L103" s="1909" t="s">
        <v>2698</v>
      </c>
      <c r="M103" s="1880">
        <f>'Part I-Project Information'!M79</f>
        <v>0</v>
      </c>
      <c r="N103" s="1909" t="s">
        <v>2699</v>
      </c>
      <c r="O103" s="1880">
        <f>'Part I-Project Information'!O79</f>
        <v>0</v>
      </c>
      <c r="P103" s="1859" t="s">
        <v>4023</v>
      </c>
      <c r="Z103" s="1858">
        <v>79</v>
      </c>
    </row>
    <row r="104" spans="1:26" s="1857" customFormat="1">
      <c r="A104" s="1858"/>
      <c r="B104" s="1858"/>
      <c r="D104" s="1859"/>
      <c r="E104" s="1904"/>
      <c r="J104" s="1908"/>
      <c r="K104" s="1908"/>
      <c r="L104" s="1861" t="s">
        <v>2700</v>
      </c>
      <c r="M104" s="1880">
        <f>'Part I-Project Information'!M80</f>
        <v>50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7083</v>
      </c>
      <c r="D106" s="1904"/>
      <c r="E106" s="1907" t="s">
        <v>6605</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4024</v>
      </c>
      <c r="L108" s="1909" t="s">
        <v>2698</v>
      </c>
      <c r="M108" s="1880">
        <f>'Part I-Project Information'!M84</f>
        <v>0</v>
      </c>
      <c r="N108" s="1909" t="s">
        <v>2699</v>
      </c>
      <c r="O108" s="1880">
        <f>'Part I-Project Information'!O84</f>
        <v>0</v>
      </c>
      <c r="P108" s="1859" t="s">
        <v>4023</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0.06</v>
      </c>
      <c r="O111" s="1861" t="s">
        <v>3330</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0.66666666666666663</v>
      </c>
      <c r="O112" s="1861" t="s">
        <v>3330</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1</v>
      </c>
      <c r="K114" s="1857" t="s">
        <v>495</v>
      </c>
      <c r="N114" s="1910">
        <f>'Part I-Project Information'!N90</f>
        <v>0.02</v>
      </c>
      <c r="O114" s="1861" t="s">
        <v>3330</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3990</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4095</v>
      </c>
      <c r="L119" s="1858"/>
      <c r="M119" s="1858"/>
      <c r="Z119" s="1858">
        <v>95</v>
      </c>
    </row>
    <row r="120" spans="1:26" s="1857" customFormat="1" ht="13.35" customHeight="1">
      <c r="B120" s="1858" t="s">
        <v>1895</v>
      </c>
      <c r="C120" s="1857" t="s">
        <v>1473</v>
      </c>
      <c r="K120" s="1859" t="s">
        <v>4011</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No</v>
      </c>
      <c r="K124" s="1859" t="s">
        <v>932</v>
      </c>
      <c r="M124" s="1880" t="str">
        <f>'Part I-Project Information'!M100</f>
        <v>No</v>
      </c>
      <c r="O124" s="1861" t="s">
        <v>3930</v>
      </c>
      <c r="P124" s="1880" t="str">
        <f>'Part I-Project Information'!P100</f>
        <v>No</v>
      </c>
      <c r="Z124" s="1858">
        <v>100</v>
      </c>
    </row>
    <row r="125" spans="1:26" s="1857" customFormat="1" ht="13.35" customHeight="1">
      <c r="A125" s="1866"/>
      <c r="B125" s="1858"/>
      <c r="F125" s="1904" t="s">
        <v>3446</v>
      </c>
      <c r="H125" s="1880" t="str">
        <f>'Part I-Project Information'!H101</f>
        <v>No</v>
      </c>
      <c r="K125" s="1859" t="s">
        <v>6314</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6313</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3306</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998900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Deion R. Lowery</v>
      </c>
      <c r="D149" s="1870"/>
      <c r="E149" s="1870"/>
      <c r="F149" s="1870" t="str">
        <f>'Part I-Project Information'!F125</f>
        <v>Sparrow Pointe</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Domingo Sanchez</v>
      </c>
      <c r="D150" s="1870"/>
      <c r="E150" s="1870"/>
      <c r="F150" s="1870" t="str">
        <f>'Part I-Project Information'!F126</f>
        <v>Sparrow Pointe</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Edward E. Haddock, Jr.</v>
      </c>
      <c r="D151" s="1870"/>
      <c r="E151" s="1870"/>
      <c r="F151" s="1870" t="str">
        <f>'Part I-Project Information'!F127</f>
        <v>Sparrow Pointe</v>
      </c>
      <c r="G151" s="1870"/>
      <c r="H151" s="1870"/>
      <c r="I151" s="1917" t="str">
        <f>'Part I-Project Information'!I127</f>
        <v>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t="str">
        <f>'Part I-Project Information'!C128</f>
        <v>Robert H. Godwin</v>
      </c>
      <c r="D152" s="1870"/>
      <c r="E152" s="1870"/>
      <c r="F152" s="1870" t="str">
        <f>'Part I-Project Information'!F128</f>
        <v>Sparrow Pointe</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7018</v>
      </c>
      <c r="I166" s="1880" t="str">
        <f>'Part I-Project Information'!I142</f>
        <v>No</v>
      </c>
      <c r="K166" s="1857" t="s">
        <v>6479</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6839</v>
      </c>
      <c r="I168" s="1880" t="str">
        <f>'Part I-Project Information'!I144</f>
        <v>No</v>
      </c>
      <c r="K168" s="1857" t="s">
        <v>6480</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6482</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6483</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6396</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6840</v>
      </c>
      <c r="I175" s="1880" t="str">
        <f>'Part I-Project Information'!I151</f>
        <v>No</v>
      </c>
      <c r="K175" s="1857" t="s">
        <v>6480</v>
      </c>
      <c r="M175" s="1858"/>
      <c r="O175" s="1914">
        <f>'Part I-Project Information'!O151</f>
        <v>0</v>
      </c>
      <c r="P175" s="1914"/>
      <c r="Z175" s="1858">
        <v>151</v>
      </c>
    </row>
    <row r="176" spans="1:26" s="1857" customFormat="1" ht="12" customHeight="1">
      <c r="A176" s="1858"/>
      <c r="B176" s="1858"/>
      <c r="C176" s="1904" t="s">
        <v>6397</v>
      </c>
      <c r="D176" s="1904"/>
      <c r="E176" s="1904"/>
      <c r="F176" s="1858"/>
      <c r="I176" s="1918">
        <f>'Part I-Project Information'!I152</f>
        <v>0</v>
      </c>
      <c r="K176" s="1857" t="s">
        <v>6482</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6483</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6396</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7084</v>
      </c>
      <c r="F182" s="1866"/>
      <c r="G182" s="1866"/>
      <c r="I182" s="1919" t="str">
        <f>'Part I-Project Information'!I158</f>
        <v>No</v>
      </c>
      <c r="K182" s="1866" t="s">
        <v>4086</v>
      </c>
      <c r="L182" s="1866"/>
      <c r="M182" s="1866"/>
      <c r="O182" s="1919" t="str">
        <f>'Part I-Project Information'!O158</f>
        <v>No</v>
      </c>
      <c r="P182" s="1881"/>
      <c r="Z182" s="1858">
        <v>158</v>
      </c>
    </row>
    <row r="183" spans="1:26" s="1857" customFormat="1" ht="12" customHeight="1">
      <c r="A183" s="1858"/>
      <c r="C183" s="1904"/>
      <c r="D183" s="1904"/>
      <c r="E183" s="1866" t="s">
        <v>7085</v>
      </c>
      <c r="F183" s="1866"/>
      <c r="G183" s="1866"/>
      <c r="I183" s="1919" t="str">
        <f>'Part I-Project Information'!I159</f>
        <v>No</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4083</v>
      </c>
      <c r="D185" s="1904"/>
      <c r="E185" s="1904"/>
      <c r="F185" s="1858"/>
      <c r="I185" s="1919" t="str">
        <f>'Part I-Project Information'!I161</f>
        <v>No</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6841</v>
      </c>
      <c r="D191" s="1908"/>
      <c r="E191" s="1908"/>
      <c r="F191" s="1908"/>
      <c r="I191" s="1857" t="s">
        <v>3963</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3962</v>
      </c>
      <c r="K192" s="1908"/>
      <c r="L192" s="1908"/>
      <c r="N192" s="1921">
        <f>'Part I-Project Information'!N168</f>
        <v>0</v>
      </c>
      <c r="P192" s="1922">
        <f>'Part I-Project Information'!P168</f>
        <v>0</v>
      </c>
      <c r="Z192" s="1869">
        <v>168</v>
      </c>
    </row>
    <row r="193" spans="1:26" s="1857" customFormat="1" ht="12" customHeight="1">
      <c r="A193" s="1858"/>
      <c r="B193" s="1858"/>
      <c r="C193" s="1866" t="s">
        <v>6303</v>
      </c>
      <c r="D193" s="1884"/>
      <c r="E193" s="1884"/>
      <c r="F193" s="1858"/>
      <c r="G193" s="1858"/>
      <c r="H193" s="1858"/>
      <c r="I193" s="1919">
        <f>'Part I-Project Information'!I169</f>
        <v>0</v>
      </c>
      <c r="J193" s="1859" t="s">
        <v>6304</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3928</v>
      </c>
      <c r="N195" s="1879">
        <f>'Part I-Project Information'!N171</f>
        <v>0</v>
      </c>
      <c r="O195" s="1879"/>
      <c r="P195" s="1879"/>
      <c r="Z195" s="1858">
        <v>171</v>
      </c>
    </row>
    <row r="196" spans="1:26" s="1857" customFormat="1" ht="12.6" customHeight="1">
      <c r="A196" s="1858"/>
      <c r="B196" s="1858"/>
      <c r="C196" s="1859" t="s">
        <v>3929</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3964</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6523</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0</v>
      </c>
      <c r="M204" s="1857" t="s">
        <v>2222</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6487</v>
      </c>
      <c r="E209" s="1866"/>
      <c r="F209" s="1926"/>
      <c r="G209" s="1926"/>
      <c r="H209" s="1926"/>
      <c r="I209" s="1927"/>
      <c r="J209" s="1927"/>
      <c r="K209" s="1927"/>
      <c r="L209" s="1919">
        <f>'Part I-Project Information'!L185</f>
        <v>0</v>
      </c>
      <c r="M209" s="1875" t="s">
        <v>6488</v>
      </c>
      <c r="N209" s="1926"/>
      <c r="O209" s="1929">
        <f>'Part I-Project Information'!O185</f>
        <v>0</v>
      </c>
      <c r="P209" s="1929"/>
      <c r="Z209" s="1858">
        <v>185</v>
      </c>
    </row>
    <row r="210" spans="1:26" ht="12" customHeight="1">
      <c r="B210" s="1866"/>
      <c r="C210" s="1928" t="s">
        <v>1898</v>
      </c>
      <c r="D210" s="1875" t="s">
        <v>6617</v>
      </c>
      <c r="E210" s="1866"/>
      <c r="F210" s="1926"/>
      <c r="G210" s="1926"/>
      <c r="H210" s="1926"/>
      <c r="I210" s="1927"/>
      <c r="J210" s="1927"/>
      <c r="K210" s="1927"/>
      <c r="L210" s="1919">
        <f>'Part I-Project Information'!L186</f>
        <v>0</v>
      </c>
      <c r="M210" s="1875" t="s">
        <v>6488</v>
      </c>
      <c r="N210" s="1926"/>
      <c r="O210" s="1929">
        <f>'Part I-Project Information'!O186</f>
        <v>0</v>
      </c>
      <c r="P210" s="1929"/>
      <c r="Z210" s="1858">
        <v>186</v>
      </c>
    </row>
    <row r="211" spans="1:26" ht="12" customHeight="1">
      <c r="B211" s="1866"/>
      <c r="C211" s="1928" t="s">
        <v>2416</v>
      </c>
      <c r="D211" s="1875" t="s">
        <v>6489</v>
      </c>
      <c r="E211" s="1866"/>
      <c r="F211" s="1926"/>
      <c r="G211" s="1926"/>
      <c r="H211" s="1926"/>
      <c r="I211" s="1927"/>
      <c r="J211" s="1927"/>
      <c r="K211" s="1927"/>
      <c r="L211" s="1919">
        <f>'Part I-Project Information'!L187</f>
        <v>0</v>
      </c>
      <c r="M211" s="1875" t="s">
        <v>6488</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6790</v>
      </c>
      <c r="D215" s="1937"/>
      <c r="E215" s="1937"/>
      <c r="F215" s="1937"/>
      <c r="G215" s="1866"/>
      <c r="H215" s="1875" t="s">
        <v>6805</v>
      </c>
      <c r="I215" s="1875"/>
      <c r="J215" s="1875" t="s">
        <v>6789</v>
      </c>
      <c r="K215" s="1875"/>
      <c r="L215" s="1875" t="s">
        <v>6788</v>
      </c>
      <c r="M215" s="1875"/>
      <c r="N215" s="1875"/>
      <c r="O215" s="1875"/>
      <c r="P215" s="1875"/>
      <c r="Z215" s="1858">
        <v>191</v>
      </c>
    </row>
    <row r="216" spans="1:26">
      <c r="A216" s="1935"/>
      <c r="B216" s="1938"/>
      <c r="C216" s="1937" t="s">
        <v>6801</v>
      </c>
      <c r="D216" s="1937"/>
      <c r="E216" s="1937"/>
      <c r="F216" s="1939" t="s">
        <v>6782</v>
      </c>
      <c r="G216" s="1939" t="s">
        <v>6783</v>
      </c>
      <c r="H216" s="1940" t="str">
        <f>'Part I-Project Information'!H192</f>
        <v/>
      </c>
      <c r="I216" s="1941" t="s">
        <v>6784</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6785</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6786</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6490</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6787</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6545</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f>'Part I-Project Information'!P206</f>
        <v>0</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4125</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6399</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45170</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The applicant is willing to forgo the Qualified Contract "cancellation option". In addition, the applicant will also commit to providing a right of first refusal to a qualified nonprofit organization or a local housing authority in accordance with the DCA requirements.</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2021-050 Sparrow Pointe,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Sparrow Pointe Housing, LP</v>
      </c>
      <c r="I251" s="1915"/>
      <c r="J251" s="1915"/>
      <c r="K251" s="1915"/>
      <c r="L251" s="1915"/>
      <c r="M251" s="1915"/>
      <c r="N251" s="1915"/>
      <c r="O251" s="1889" t="s">
        <v>1899</v>
      </c>
      <c r="P251" s="1889"/>
      <c r="Q251" s="1864" t="str">
        <f>'Part II-Development Team'!Q6</f>
        <v>Deion Lowery</v>
      </c>
      <c r="R251" s="1915"/>
      <c r="S251" s="1915"/>
      <c r="Z251" s="1858">
        <v>6</v>
      </c>
    </row>
    <row r="252" spans="1:26" s="1857" customFormat="1" ht="11.25" customHeight="1">
      <c r="D252" s="1888"/>
      <c r="E252" s="1859" t="s">
        <v>982</v>
      </c>
      <c r="F252" s="1861"/>
      <c r="H252" s="1864" t="str">
        <f>'Part II-Development Team'!H7</f>
        <v>1631 East Vine Street, Suite 300</v>
      </c>
      <c r="I252" s="1915"/>
      <c r="J252" s="1915"/>
      <c r="K252" s="1915"/>
      <c r="L252" s="1915"/>
      <c r="M252" s="1915"/>
      <c r="N252" s="1915"/>
      <c r="O252" s="1889" t="s">
        <v>1668</v>
      </c>
      <c r="P252" s="1864"/>
      <c r="Q252" s="1864" t="str">
        <f>'Part II-Development Team'!Q7</f>
        <v>Pricipal</v>
      </c>
      <c r="R252" s="1915"/>
      <c r="S252" s="1915"/>
      <c r="Z252" s="1858">
        <v>7</v>
      </c>
    </row>
    <row r="253" spans="1:26" s="1857" customFormat="1" ht="11.25" customHeight="1">
      <c r="D253" s="1888"/>
      <c r="E253" s="1859" t="s">
        <v>588</v>
      </c>
      <c r="H253" s="1864" t="str">
        <f>'Part II-Development Team'!H8</f>
        <v>Kissimmee</v>
      </c>
      <c r="I253" s="1915"/>
      <c r="J253" s="1915"/>
      <c r="K253" s="1880" t="s">
        <v>732</v>
      </c>
      <c r="L253" s="1864">
        <f>'Part II-Development Team'!L8</f>
        <v>0</v>
      </c>
      <c r="M253" s="1915"/>
      <c r="N253" s="1915"/>
      <c r="O253" s="1889" t="s">
        <v>1644</v>
      </c>
      <c r="P253" s="1864"/>
      <c r="Q253" s="1879">
        <f>'Part II-Development Team'!Q8</f>
        <v>9046196215</v>
      </c>
      <c r="R253" s="1879"/>
      <c r="S253" s="1879"/>
      <c r="Z253" s="1858">
        <v>8</v>
      </c>
    </row>
    <row r="254" spans="1:26" s="1857" customFormat="1" ht="11.25" customHeight="1">
      <c r="D254" s="1888"/>
      <c r="E254" s="1859" t="s">
        <v>1717</v>
      </c>
      <c r="H254" s="1889" t="str">
        <f>'Part II-Development Team'!H9</f>
        <v>FL</v>
      </c>
      <c r="I254" s="1880" t="s">
        <v>2128</v>
      </c>
      <c r="J254" s="1878">
        <f>'Part II-Development Team'!J9</f>
        <v>347443710</v>
      </c>
      <c r="K254" s="1915"/>
      <c r="L254" s="1864" t="s">
        <v>3323</v>
      </c>
      <c r="M254" s="1864" t="str">
        <f>'Part II-Development Team'!M9</f>
        <v>For Profit</v>
      </c>
      <c r="N254" s="1864"/>
      <c r="O254" s="1889" t="s">
        <v>1889</v>
      </c>
      <c r="P254" s="1864"/>
      <c r="Q254" s="1879">
        <f>'Part II-Development Team'!Q9</f>
        <v>0</v>
      </c>
      <c r="R254" s="1879"/>
      <c r="S254" s="1879"/>
      <c r="Z254" s="1858">
        <v>9</v>
      </c>
    </row>
    <row r="255" spans="1:26" s="1857" customFormat="1" ht="11.25" customHeight="1">
      <c r="D255" s="1888"/>
      <c r="E255" s="1859" t="s">
        <v>3614</v>
      </c>
      <c r="H255" s="1879">
        <f>'Part II-Development Team'!H10</f>
        <v>9046196215</v>
      </c>
      <c r="I255" s="1879"/>
      <c r="J255" s="1919">
        <f>'Part II-Development Team'!J10</f>
        <v>0</v>
      </c>
      <c r="K255" s="1880" t="s">
        <v>1894</v>
      </c>
      <c r="L255" s="1873" t="str">
        <f>'Part II-Development Team'!L10</f>
        <v>steve.auger@birdsonghousing.com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6842</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Sparrow Pointe Housing GP, LLC</v>
      </c>
      <c r="I260" s="1915"/>
      <c r="J260" s="1915"/>
      <c r="K260" s="1915"/>
      <c r="L260" s="1915"/>
      <c r="M260" s="1915"/>
      <c r="N260" s="1915"/>
      <c r="O260" s="1889" t="s">
        <v>1899</v>
      </c>
      <c r="P260" s="1889"/>
      <c r="Q260" s="1864" t="str">
        <f>'Part II-Development Team'!Q15</f>
        <v>Deion Lowery</v>
      </c>
      <c r="R260" s="1915"/>
      <c r="S260" s="1915"/>
      <c r="Z260" s="1858">
        <v>15</v>
      </c>
    </row>
    <row r="261" spans="2:26" s="1857" customFormat="1" ht="11.25" customHeight="1">
      <c r="D261" s="1888"/>
      <c r="E261" s="1859" t="s">
        <v>982</v>
      </c>
      <c r="F261" s="1861"/>
      <c r="H261" s="1864" t="str">
        <f>'Part II-Development Team'!H16</f>
        <v>1631 East Vine Street, Suite 300</v>
      </c>
      <c r="I261" s="1915"/>
      <c r="J261" s="1915"/>
      <c r="K261" s="1915"/>
      <c r="L261" s="1915"/>
      <c r="M261" s="1915"/>
      <c r="N261" s="1915"/>
      <c r="O261" s="1889" t="s">
        <v>1668</v>
      </c>
      <c r="P261" s="1864"/>
      <c r="Q261" s="1864" t="str">
        <f>'Part II-Development Team'!Q16</f>
        <v>Principal</v>
      </c>
      <c r="R261" s="1915"/>
      <c r="S261" s="1915"/>
      <c r="Z261" s="1858">
        <v>16</v>
      </c>
    </row>
    <row r="262" spans="2:26" s="1857" customFormat="1" ht="11.25" customHeight="1">
      <c r="D262" s="1888"/>
      <c r="E262" s="1859" t="s">
        <v>588</v>
      </c>
      <c r="H262" s="1864" t="str">
        <f>'Part II-Development Team'!H17</f>
        <v>Kissimmee</v>
      </c>
      <c r="I262" s="1915"/>
      <c r="J262" s="1915"/>
      <c r="K262" s="1880" t="s">
        <v>2553</v>
      </c>
      <c r="L262" s="1864" t="str">
        <f>'Part II-Development Team'!L17</f>
        <v>http://birdsonghousing.com/</v>
      </c>
      <c r="M262" s="1915"/>
      <c r="N262" s="1915"/>
      <c r="O262" s="1889" t="s">
        <v>1644</v>
      </c>
      <c r="P262" s="1864"/>
      <c r="Q262" s="1879">
        <f>'Part II-Development Team'!Q17</f>
        <v>9046196215</v>
      </c>
      <c r="R262" s="1879"/>
      <c r="S262" s="1879"/>
      <c r="Z262" s="1858">
        <v>17</v>
      </c>
    </row>
    <row r="263" spans="2:26" s="1857" customFormat="1" ht="11.25" customHeight="1">
      <c r="E263" s="1859" t="s">
        <v>1717</v>
      </c>
      <c r="H263" s="1889" t="str">
        <f>'Part II-Development Team'!H18</f>
        <v>FL</v>
      </c>
      <c r="I263" s="1864"/>
      <c r="J263" s="1864"/>
      <c r="K263" s="1880" t="s">
        <v>2128</v>
      </c>
      <c r="L263" s="1878">
        <f>'Part II-Development Team'!L18</f>
        <v>347443710</v>
      </c>
      <c r="M263" s="1915"/>
      <c r="N263" s="1864"/>
      <c r="O263" s="1889" t="s">
        <v>1889</v>
      </c>
      <c r="P263" s="1864"/>
      <c r="Q263" s="1879">
        <f>'Part II-Development Team'!Q18</f>
        <v>0</v>
      </c>
      <c r="R263" s="1879"/>
      <c r="S263" s="1879"/>
      <c r="Z263" s="1858">
        <v>18</v>
      </c>
    </row>
    <row r="264" spans="2:26" s="1857" customFormat="1" ht="11.25" customHeight="1">
      <c r="D264" s="1888"/>
      <c r="E264" s="1859" t="s">
        <v>3614</v>
      </c>
      <c r="H264" s="1879">
        <f>'Part II-Development Team'!H19</f>
        <v>9046196215</v>
      </c>
      <c r="I264" s="1879"/>
      <c r="J264" s="1919">
        <f>'Part II-Development Team'!J19</f>
        <v>0</v>
      </c>
      <c r="K264" s="1880" t="s">
        <v>1894</v>
      </c>
      <c r="L264" s="1873" t="str">
        <f>'Part II-Development Team'!L19</f>
        <v>steve.auger@birdsonghousing.com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Affordable Equity Partners, Inc.</v>
      </c>
      <c r="I279" s="1915"/>
      <c r="J279" s="1915"/>
      <c r="K279" s="1915"/>
      <c r="L279" s="1915"/>
      <c r="M279" s="1915"/>
      <c r="N279" s="1915"/>
      <c r="O279" s="1889" t="s">
        <v>1899</v>
      </c>
      <c r="P279" s="1889"/>
      <c r="Q279" s="1864" t="str">
        <f>'Part II-Development Team'!Q34</f>
        <v>Brian Kimes</v>
      </c>
      <c r="R279" s="1915"/>
      <c r="S279" s="1915"/>
      <c r="Z279" s="1858">
        <v>34</v>
      </c>
    </row>
    <row r="280" spans="3:26" s="1857" customFormat="1" ht="11.25" customHeight="1">
      <c r="D280" s="1888"/>
      <c r="E280" s="1859" t="s">
        <v>982</v>
      </c>
      <c r="F280" s="1861"/>
      <c r="H280" s="1864" t="str">
        <f>'Part II-Development Team'!H35</f>
        <v>206 Peach Way</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Columbia</v>
      </c>
      <c r="I281" s="1915"/>
      <c r="J281" s="1915"/>
      <c r="K281" s="1880" t="s">
        <v>2553</v>
      </c>
      <c r="L281" s="1864" t="str">
        <f>'Part II-Development Team'!L36</f>
        <v>www.aepartners.com</v>
      </c>
      <c r="M281" s="1915"/>
      <c r="N281" s="1915"/>
      <c r="O281" s="1889" t="s">
        <v>1644</v>
      </c>
      <c r="P281" s="1864"/>
      <c r="Q281" s="1879">
        <f>'Part II-Development Team'!Q36</f>
        <v>5734432021</v>
      </c>
      <c r="R281" s="1879"/>
      <c r="S281" s="1879"/>
      <c r="Z281" s="1858">
        <v>36</v>
      </c>
    </row>
    <row r="282" spans="3:26" s="1857" customFormat="1" ht="11.25" customHeight="1">
      <c r="E282" s="1859" t="s">
        <v>1717</v>
      </c>
      <c r="H282" s="1889" t="str">
        <f>'Part II-Development Team'!H37</f>
        <v>MO</v>
      </c>
      <c r="I282" s="1864"/>
      <c r="J282" s="1864"/>
      <c r="K282" s="1880" t="s">
        <v>2128</v>
      </c>
      <c r="L282" s="1878">
        <f>'Part II-Development Team'!L37</f>
        <v>652034905</v>
      </c>
      <c r="M282" s="1915"/>
      <c r="N282" s="1864"/>
      <c r="O282" s="1889" t="s">
        <v>1889</v>
      </c>
      <c r="P282" s="1864"/>
      <c r="Q282" s="1879">
        <f>'Part II-Development Team'!Q37</f>
        <v>5734248811</v>
      </c>
      <c r="R282" s="1879"/>
      <c r="S282" s="1879"/>
      <c r="Z282" s="1858">
        <v>37</v>
      </c>
    </row>
    <row r="283" spans="3:26" s="1857" customFormat="1" ht="11.25" customHeight="1">
      <c r="D283" s="1888"/>
      <c r="E283" s="1859" t="s">
        <v>3614</v>
      </c>
      <c r="H283" s="1879">
        <f>'Part II-Development Team'!H38</f>
        <v>5734432021</v>
      </c>
      <c r="I283" s="1879"/>
      <c r="J283" s="1919">
        <f>'Part II-Development Team'!J38</f>
        <v>0</v>
      </c>
      <c r="K283" s="1880" t="s">
        <v>1894</v>
      </c>
      <c r="L283" s="1873" t="str">
        <f>'Part II-Development Team'!L38</f>
        <v>bkimes@aepartners.com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Affordable Equity Partners, Inc.</v>
      </c>
      <c r="I285" s="1915"/>
      <c r="J285" s="1915"/>
      <c r="K285" s="1915"/>
      <c r="L285" s="1915"/>
      <c r="M285" s="1915"/>
      <c r="N285" s="1915"/>
      <c r="O285" s="1889" t="s">
        <v>1899</v>
      </c>
      <c r="P285" s="1889"/>
      <c r="Q285" s="1864" t="str">
        <f>'Part II-Development Team'!Q40</f>
        <v>Brian Kimes</v>
      </c>
      <c r="R285" s="1915"/>
      <c r="S285" s="1915"/>
      <c r="Z285" s="1858">
        <v>40</v>
      </c>
    </row>
    <row r="286" spans="3:26" s="1857" customFormat="1" ht="11.25" customHeight="1">
      <c r="D286" s="1888"/>
      <c r="E286" s="1859" t="s">
        <v>982</v>
      </c>
      <c r="F286" s="1861"/>
      <c r="H286" s="1864" t="str">
        <f>'Part II-Development Team'!H41</f>
        <v>206 Peach Way</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Columbia</v>
      </c>
      <c r="I287" s="1915"/>
      <c r="J287" s="1915"/>
      <c r="K287" s="1880" t="s">
        <v>2553</v>
      </c>
      <c r="L287" s="1864" t="str">
        <f>'Part II-Development Team'!L42</f>
        <v>www.aepartners.com</v>
      </c>
      <c r="M287" s="1915"/>
      <c r="N287" s="1915"/>
      <c r="O287" s="1889" t="s">
        <v>1644</v>
      </c>
      <c r="P287" s="1864"/>
      <c r="Q287" s="1879">
        <f>'Part II-Development Team'!Q42</f>
        <v>5734432021</v>
      </c>
      <c r="R287" s="1879"/>
      <c r="S287" s="1879"/>
      <c r="Z287" s="1858">
        <v>42</v>
      </c>
    </row>
    <row r="288" spans="3:26" s="1857" customFormat="1" ht="11.25" customHeight="1">
      <c r="E288" s="1859" t="s">
        <v>1717</v>
      </c>
      <c r="H288" s="1889" t="str">
        <f>'Part II-Development Team'!H43</f>
        <v>MO</v>
      </c>
      <c r="I288" s="1864"/>
      <c r="J288" s="1864"/>
      <c r="K288" s="1880" t="s">
        <v>2128</v>
      </c>
      <c r="L288" s="1878">
        <f>'Part II-Development Team'!L43</f>
        <v>652034905</v>
      </c>
      <c r="M288" s="1915"/>
      <c r="N288" s="1864"/>
      <c r="O288" s="1889" t="s">
        <v>1889</v>
      </c>
      <c r="P288" s="1864"/>
      <c r="Q288" s="1879">
        <f>'Part II-Development Team'!Q43</f>
        <v>5734248811</v>
      </c>
      <c r="R288" s="1879"/>
      <c r="S288" s="1879"/>
      <c r="Z288" s="1858">
        <v>43</v>
      </c>
    </row>
    <row r="289" spans="1:26" s="1857" customFormat="1" ht="11.25" customHeight="1">
      <c r="D289" s="1888"/>
      <c r="E289" s="1859" t="s">
        <v>3614</v>
      </c>
      <c r="H289" s="1879">
        <f>'Part II-Development Team'!H44</f>
        <v>5734432021</v>
      </c>
      <c r="I289" s="1879"/>
      <c r="J289" s="1919">
        <f>'Part II-Development Team'!J44</f>
        <v>0</v>
      </c>
      <c r="K289" s="1880" t="s">
        <v>1894</v>
      </c>
      <c r="L289" s="1873" t="str">
        <f>'Part II-Development Team'!L44</f>
        <v>bkimes@aepartners.com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DDER Development, LLC</v>
      </c>
      <c r="I300" s="1915"/>
      <c r="J300" s="1915"/>
      <c r="K300" s="1915"/>
      <c r="L300" s="1915"/>
      <c r="M300" s="1915"/>
      <c r="N300" s="1915"/>
      <c r="O300" s="1889" t="s">
        <v>1899</v>
      </c>
      <c r="P300" s="1889"/>
      <c r="Q300" s="1864" t="str">
        <f>'Part II-Development Team'!Q55</f>
        <v>Deion Lowery</v>
      </c>
      <c r="R300" s="1915"/>
      <c r="S300" s="1915"/>
      <c r="Z300" s="1858">
        <v>55</v>
      </c>
    </row>
    <row r="301" spans="1:26" s="1857" customFormat="1" ht="11.25" customHeight="1">
      <c r="D301" s="1888"/>
      <c r="E301" s="1859" t="s">
        <v>982</v>
      </c>
      <c r="F301" s="1861"/>
      <c r="H301" s="1864" t="str">
        <f>'Part II-Development Team'!H56</f>
        <v>1631 Ease Vine Street, Suite 300</v>
      </c>
      <c r="I301" s="1915"/>
      <c r="J301" s="1915"/>
      <c r="K301" s="1915"/>
      <c r="L301" s="1915"/>
      <c r="M301" s="1915"/>
      <c r="N301" s="1915"/>
      <c r="O301" s="1889" t="s">
        <v>1668</v>
      </c>
      <c r="P301" s="1864"/>
      <c r="Q301" s="1864" t="str">
        <f>'Part II-Development Team'!Q56</f>
        <v>Principal</v>
      </c>
      <c r="R301" s="1915"/>
      <c r="S301" s="1915"/>
      <c r="Z301" s="1858">
        <v>56</v>
      </c>
    </row>
    <row r="302" spans="1:26" s="1857" customFormat="1" ht="11.25" customHeight="1">
      <c r="D302" s="1888"/>
      <c r="E302" s="1859" t="s">
        <v>588</v>
      </c>
      <c r="H302" s="1864" t="str">
        <f>'Part II-Development Team'!H57</f>
        <v>Kissimmee</v>
      </c>
      <c r="I302" s="1915"/>
      <c r="J302" s="1915"/>
      <c r="K302" s="1880" t="s">
        <v>2553</v>
      </c>
      <c r="L302" s="1864" t="str">
        <f>'Part II-Development Team'!L57</f>
        <v>http://birdsonghousing.com/</v>
      </c>
      <c r="M302" s="1915"/>
      <c r="N302" s="1915"/>
      <c r="O302" s="1889" t="s">
        <v>1644</v>
      </c>
      <c r="P302" s="1864"/>
      <c r="Q302" s="1879">
        <f>'Part II-Development Team'!Q57</f>
        <v>9046196215</v>
      </c>
      <c r="R302" s="1879"/>
      <c r="S302" s="1879"/>
      <c r="Z302" s="1858">
        <v>57</v>
      </c>
    </row>
    <row r="303" spans="1:26" s="1857" customFormat="1" ht="11.25" customHeight="1">
      <c r="E303" s="1859" t="s">
        <v>1717</v>
      </c>
      <c r="H303" s="1889" t="str">
        <f>'Part II-Development Team'!H58</f>
        <v>FL</v>
      </c>
      <c r="I303" s="1864"/>
      <c r="J303" s="1864"/>
      <c r="K303" s="1880" t="s">
        <v>2128</v>
      </c>
      <c r="L303" s="1878">
        <f>'Part II-Development Team'!L58</f>
        <v>347440000</v>
      </c>
      <c r="M303" s="1915"/>
      <c r="N303" s="1864"/>
      <c r="O303" s="1889" t="s">
        <v>1889</v>
      </c>
      <c r="P303" s="1864"/>
      <c r="Q303" s="1879">
        <f>'Part II-Development Team'!Q58</f>
        <v>0</v>
      </c>
      <c r="R303" s="1879"/>
      <c r="S303" s="1879"/>
      <c r="Z303" s="1858">
        <v>58</v>
      </c>
    </row>
    <row r="304" spans="1:26" s="1857" customFormat="1" ht="11.25" customHeight="1">
      <c r="D304" s="1888"/>
      <c r="E304" s="1859" t="s">
        <v>3614</v>
      </c>
      <c r="H304" s="1879">
        <f>'Part II-Development Team'!H59</f>
        <v>9046196215</v>
      </c>
      <c r="I304" s="1879"/>
      <c r="J304" s="1919">
        <f>'Part II-Development Team'!J59</f>
        <v>0</v>
      </c>
      <c r="K304" s="1880" t="s">
        <v>1894</v>
      </c>
      <c r="L304" s="1873" t="str">
        <f>'Part II-Development Team'!L59</f>
        <v>steve.auger@birdsonghousing.com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t="str">
        <f>'Part II-Development Team'!H73</f>
        <v>South Rome Redevelopment Corporation</v>
      </c>
      <c r="I318" s="1915"/>
      <c r="J318" s="1915"/>
      <c r="K318" s="1915"/>
      <c r="L318" s="1915"/>
      <c r="M318" s="1915"/>
      <c r="N318" s="1915"/>
      <c r="O318" s="1889" t="s">
        <v>1899</v>
      </c>
      <c r="P318" s="1889"/>
      <c r="Q318" s="1864" t="str">
        <f>'Part II-Development Team'!Q73</f>
        <v>Jake Hager</v>
      </c>
      <c r="R318" s="1915"/>
      <c r="S318" s="1915"/>
      <c r="Z318" s="1858">
        <v>73</v>
      </c>
    </row>
    <row r="319" spans="2:26" s="1857" customFormat="1" ht="11.25" customHeight="1">
      <c r="D319" s="1888"/>
      <c r="E319" s="1859" t="s">
        <v>982</v>
      </c>
      <c r="F319" s="1861"/>
      <c r="H319" s="1864" t="str">
        <f>'Part II-Development Team'!H74</f>
        <v>1 S. Broad Street, SW</v>
      </c>
      <c r="I319" s="1915"/>
      <c r="J319" s="1915"/>
      <c r="K319" s="1915"/>
      <c r="L319" s="1915"/>
      <c r="M319" s="1915"/>
      <c r="N319" s="1915"/>
      <c r="O319" s="1889" t="s">
        <v>1668</v>
      </c>
      <c r="P319" s="1864"/>
      <c r="Q319" s="1864" t="str">
        <f>'Part II-Development Team'!Q74</f>
        <v>Executive Director</v>
      </c>
      <c r="R319" s="1915"/>
      <c r="S319" s="1915"/>
      <c r="Z319" s="1858">
        <v>74</v>
      </c>
    </row>
    <row r="320" spans="2:26" s="1857" customFormat="1" ht="11.25" customHeight="1">
      <c r="D320" s="1888"/>
      <c r="E320" s="1859" t="s">
        <v>588</v>
      </c>
      <c r="H320" s="1864" t="str">
        <f>'Part II-Development Team'!H75</f>
        <v>Rome</v>
      </c>
      <c r="I320" s="1915"/>
      <c r="J320" s="1915"/>
      <c r="K320" s="1880" t="s">
        <v>2553</v>
      </c>
      <c r="L320" s="1864" t="str">
        <f>'Part II-Development Team'!L75</f>
        <v>www.southrome.org</v>
      </c>
      <c r="M320" s="1915"/>
      <c r="N320" s="1915"/>
      <c r="O320" s="1889" t="s">
        <v>1644</v>
      </c>
      <c r="P320" s="1864"/>
      <c r="Q320" s="1879">
        <f>'Part II-Development Team'!Q75</f>
        <v>2295918339</v>
      </c>
      <c r="R320" s="1879"/>
      <c r="S320" s="1879"/>
      <c r="Z320" s="1858">
        <v>75</v>
      </c>
    </row>
    <row r="321" spans="1:26" s="1857" customFormat="1" ht="11.25" customHeight="1">
      <c r="E321" s="1859" t="s">
        <v>1717</v>
      </c>
      <c r="H321" s="1889" t="str">
        <f>'Part II-Development Team'!H76</f>
        <v>GA</v>
      </c>
      <c r="I321" s="1864"/>
      <c r="J321" s="1864"/>
      <c r="K321" s="1880" t="s">
        <v>2128</v>
      </c>
      <c r="L321" s="1878">
        <f>'Part II-Development Team'!L76</f>
        <v>301614424</v>
      </c>
      <c r="M321" s="1915"/>
      <c r="N321" s="1864"/>
      <c r="O321" s="1889" t="s">
        <v>1889</v>
      </c>
      <c r="P321" s="1864"/>
      <c r="Q321" s="1879">
        <f>'Part II-Development Team'!Q76</f>
        <v>2292885971</v>
      </c>
      <c r="R321" s="1879"/>
      <c r="S321" s="1879"/>
      <c r="Z321" s="1858">
        <v>76</v>
      </c>
    </row>
    <row r="322" spans="1:26" s="1857" customFormat="1" ht="11.25" customHeight="1">
      <c r="D322" s="1888"/>
      <c r="E322" s="1859" t="s">
        <v>3614</v>
      </c>
      <c r="H322" s="1879">
        <f>'Part II-Development Team'!H77</f>
        <v>7065918339</v>
      </c>
      <c r="I322" s="1879"/>
      <c r="J322" s="1919">
        <f>'Part II-Development Team'!J77</f>
        <v>0</v>
      </c>
      <c r="K322" s="1880" t="s">
        <v>1894</v>
      </c>
      <c r="L322" s="1873" t="str">
        <f>'Part II-Development Team'!L77</f>
        <v>southromega@gmail.com</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Fairway Construction Company, Inc.</v>
      </c>
      <c r="I332" s="1915"/>
      <c r="J332" s="1915"/>
      <c r="K332" s="1915"/>
      <c r="L332" s="1915"/>
      <c r="M332" s="1915"/>
      <c r="N332" s="1915"/>
      <c r="O332" s="1889" t="s">
        <v>1899</v>
      </c>
      <c r="P332" s="1889"/>
      <c r="Q332" s="1864" t="str">
        <f>'Part II-Development Team'!Q87</f>
        <v>Brian Parr</v>
      </c>
      <c r="R332" s="1915"/>
      <c r="S332" s="1915"/>
      <c r="Z332" s="1869">
        <v>87</v>
      </c>
    </row>
    <row r="333" spans="1:26" s="1857" customFormat="1" ht="11.25" customHeight="1">
      <c r="D333" s="1888"/>
      <c r="E333" s="1859" t="s">
        <v>982</v>
      </c>
      <c r="F333" s="1861"/>
      <c r="H333" s="1864" t="str">
        <f>'Part II-Development Team'!H88</f>
        <v>206 Peach Way</v>
      </c>
      <c r="I333" s="1915"/>
      <c r="J333" s="1915"/>
      <c r="K333" s="1915"/>
      <c r="L333" s="1915"/>
      <c r="M333" s="1915"/>
      <c r="N333" s="1915"/>
      <c r="O333" s="1889" t="s">
        <v>1668</v>
      </c>
      <c r="P333" s="1864"/>
      <c r="Q333" s="1864" t="str">
        <f>'Part II-Development Team'!Q88</f>
        <v>Director of Construction</v>
      </c>
      <c r="R333" s="1915"/>
      <c r="S333" s="1915"/>
      <c r="Z333" s="1858">
        <v>88</v>
      </c>
    </row>
    <row r="334" spans="1:26" s="1857" customFormat="1" ht="11.25" customHeight="1">
      <c r="D334" s="1888"/>
      <c r="E334" s="1859" t="s">
        <v>588</v>
      </c>
      <c r="H334" s="1864" t="str">
        <f>'Part II-Development Team'!H89</f>
        <v>Columbia</v>
      </c>
      <c r="I334" s="1915"/>
      <c r="J334" s="1915"/>
      <c r="K334" s="1880" t="s">
        <v>2553</v>
      </c>
      <c r="L334" s="1864" t="str">
        <f>'Part II-Development Team'!L89</f>
        <v>www.fairwayconstruction.net</v>
      </c>
      <c r="M334" s="1915"/>
      <c r="N334" s="1915"/>
      <c r="O334" s="1889" t="s">
        <v>1644</v>
      </c>
      <c r="P334" s="1864"/>
      <c r="Q334" s="1879">
        <f>'Part II-Development Team'!Q89</f>
        <v>5734432021</v>
      </c>
      <c r="R334" s="1879"/>
      <c r="S334" s="1879"/>
      <c r="Z334" s="1858">
        <v>89</v>
      </c>
    </row>
    <row r="335" spans="1:26" s="1857" customFormat="1" ht="11.25" customHeight="1">
      <c r="E335" s="1859" t="s">
        <v>1717</v>
      </c>
      <c r="H335" s="1889" t="str">
        <f>'Part II-Development Team'!H90</f>
        <v>MO</v>
      </c>
      <c r="I335" s="1864"/>
      <c r="J335" s="1864"/>
      <c r="K335" s="1880" t="s">
        <v>2128</v>
      </c>
      <c r="L335" s="1878">
        <f>'Part II-Development Team'!L90</f>
        <v>652034905</v>
      </c>
      <c r="M335" s="1915"/>
      <c r="N335" s="1864"/>
      <c r="O335" s="1889" t="s">
        <v>1889</v>
      </c>
      <c r="P335" s="1864"/>
      <c r="Q335" s="1879">
        <f>'Part II-Development Team'!Q90</f>
        <v>0</v>
      </c>
      <c r="R335" s="1879"/>
      <c r="S335" s="1879"/>
      <c r="Z335" s="1858">
        <v>90</v>
      </c>
    </row>
    <row r="336" spans="1:26" s="1857" customFormat="1" ht="11.25" customHeight="1">
      <c r="D336" s="1888"/>
      <c r="E336" s="1859" t="s">
        <v>3614</v>
      </c>
      <c r="H336" s="1879">
        <f>'Part II-Development Team'!H91</f>
        <v>5734432021</v>
      </c>
      <c r="I336" s="1879"/>
      <c r="J336" s="1919">
        <f>'Part II-Development Team'!J91</f>
        <v>0</v>
      </c>
      <c r="K336" s="1880" t="s">
        <v>1894</v>
      </c>
      <c r="L336" s="1873" t="str">
        <f>'Part II-Development Team'!L91</f>
        <v>bparr@fairwayconstruction.net</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Fairway Management Co, Inc.</v>
      </c>
      <c r="I338" s="1915"/>
      <c r="J338" s="1915"/>
      <c r="K338" s="1915"/>
      <c r="L338" s="1915"/>
      <c r="M338" s="1915"/>
      <c r="N338" s="1915"/>
      <c r="O338" s="1889" t="s">
        <v>1899</v>
      </c>
      <c r="P338" s="1889"/>
      <c r="Q338" s="1864" t="str">
        <f>'Part II-Development Team'!Q93</f>
        <v>Eric Stout</v>
      </c>
      <c r="R338" s="1915"/>
      <c r="S338" s="1915"/>
      <c r="Z338" s="1869">
        <v>93</v>
      </c>
    </row>
    <row r="339" spans="2:26" s="1857" customFormat="1" ht="11.25" customHeight="1">
      <c r="D339" s="1888"/>
      <c r="E339" s="1859" t="s">
        <v>982</v>
      </c>
      <c r="F339" s="1861"/>
      <c r="H339" s="1864" t="str">
        <f>'Part II-Development Team'!H94</f>
        <v>3290 Northside Parkway, Suite 300</v>
      </c>
      <c r="I339" s="1915"/>
      <c r="J339" s="1915"/>
      <c r="K339" s="1915"/>
      <c r="L339" s="1915"/>
      <c r="M339" s="1915"/>
      <c r="N339" s="1915"/>
      <c r="O339" s="1889" t="s">
        <v>1668</v>
      </c>
      <c r="P339" s="1864"/>
      <c r="Q339" s="1864" t="str">
        <f>'Part II-Development Team'!Q94</f>
        <v>Regional Director</v>
      </c>
      <c r="R339" s="1915"/>
      <c r="S339" s="1915"/>
      <c r="Z339" s="1858">
        <v>94</v>
      </c>
    </row>
    <row r="340" spans="2:26" s="1857" customFormat="1" ht="11.25" customHeight="1">
      <c r="D340" s="1888"/>
      <c r="E340" s="1859" t="s">
        <v>588</v>
      </c>
      <c r="H340" s="1864" t="str">
        <f>'Part II-Development Team'!H95</f>
        <v>Atlanta</v>
      </c>
      <c r="I340" s="1915"/>
      <c r="J340" s="1915"/>
      <c r="K340" s="1880" t="s">
        <v>2553</v>
      </c>
      <c r="L340" s="1864" t="str">
        <f>'Part II-Development Team'!L95</f>
        <v>www.fairwaymanagement.com</v>
      </c>
      <c r="M340" s="1915"/>
      <c r="N340" s="1915"/>
      <c r="O340" s="1889" t="s">
        <v>1644</v>
      </c>
      <c r="P340" s="1864"/>
      <c r="Q340" s="1879">
        <f>'Part II-Development Team'!Q95</f>
        <v>5734432021</v>
      </c>
      <c r="R340" s="1879"/>
      <c r="S340" s="1879"/>
      <c r="Z340" s="1858">
        <v>95</v>
      </c>
    </row>
    <row r="341" spans="2:26" s="1857" customFormat="1" ht="11.25" customHeight="1">
      <c r="D341" s="1888"/>
      <c r="E341" s="1859" t="s">
        <v>1717</v>
      </c>
      <c r="H341" s="1889" t="str">
        <f>'Part II-Development Team'!H96</f>
        <v>GA</v>
      </c>
      <c r="I341" s="1864"/>
      <c r="J341" s="1864"/>
      <c r="K341" s="1880" t="s">
        <v>2128</v>
      </c>
      <c r="L341" s="1878">
        <f>'Part II-Development Team'!L96</f>
        <v>303272212</v>
      </c>
      <c r="M341" s="1915"/>
      <c r="N341" s="1864"/>
      <c r="O341" s="1889" t="s">
        <v>1889</v>
      </c>
      <c r="P341" s="1864"/>
      <c r="Q341" s="1879">
        <f>'Part II-Development Team'!Q96</f>
        <v>0</v>
      </c>
      <c r="R341" s="1879"/>
      <c r="S341" s="1879"/>
      <c r="Z341" s="1858">
        <v>96</v>
      </c>
    </row>
    <row r="342" spans="2:26" s="1857" customFormat="1" ht="11.25" customHeight="1">
      <c r="D342" s="1888"/>
      <c r="E342" s="1859" t="s">
        <v>3614</v>
      </c>
      <c r="H342" s="1879">
        <f>'Part II-Development Team'!H97</f>
        <v>5734432021</v>
      </c>
      <c r="I342" s="1879"/>
      <c r="J342" s="1919">
        <f>'Part II-Development Team'!J97</f>
        <v>0</v>
      </c>
      <c r="K342" s="1880" t="s">
        <v>1894</v>
      </c>
      <c r="L342" s="1873" t="str">
        <f>'Part II-Development Team'!L97</f>
        <v>estout@fairwaymanagement.com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Van Matre, Harrison, Hollis, Taylor, and Elliot, P.C.</v>
      </c>
      <c r="I344" s="1915"/>
      <c r="J344" s="1915"/>
      <c r="K344" s="1915"/>
      <c r="L344" s="1915"/>
      <c r="M344" s="1915"/>
      <c r="N344" s="1915"/>
      <c r="O344" s="1889" t="s">
        <v>1899</v>
      </c>
      <c r="P344" s="1889"/>
      <c r="Q344" s="1864" t="str">
        <f>'Part II-Development Team'!Q99</f>
        <v>Tom Harrison</v>
      </c>
      <c r="R344" s="1915"/>
      <c r="S344" s="1915"/>
      <c r="Z344" s="1858">
        <v>99</v>
      </c>
    </row>
    <row r="345" spans="2:26" s="1857" customFormat="1" ht="11.25" customHeight="1">
      <c r="D345" s="1888"/>
      <c r="E345" s="1859" t="s">
        <v>982</v>
      </c>
      <c r="F345" s="1861"/>
      <c r="H345" s="1864" t="str">
        <f>'Part II-Development Team'!H100</f>
        <v>1103 E. Broadway</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Columbia</v>
      </c>
      <c r="I346" s="1915"/>
      <c r="J346" s="1915"/>
      <c r="K346" s="1880" t="s">
        <v>2553</v>
      </c>
      <c r="L346" s="1864" t="str">
        <f>'Part II-Development Team'!L101</f>
        <v>www.vanmatre.com</v>
      </c>
      <c r="M346" s="1915"/>
      <c r="N346" s="1915"/>
      <c r="O346" s="1889" t="s">
        <v>1644</v>
      </c>
      <c r="P346" s="1864"/>
      <c r="Q346" s="1879">
        <f>'Part II-Development Team'!Q101</f>
        <v>5738747777</v>
      </c>
      <c r="R346" s="1879"/>
      <c r="S346" s="1879"/>
      <c r="Z346" s="1858">
        <v>101</v>
      </c>
    </row>
    <row r="347" spans="2:26" s="1857" customFormat="1" ht="11.25" customHeight="1">
      <c r="D347" s="1888"/>
      <c r="E347" s="1859" t="s">
        <v>1717</v>
      </c>
      <c r="H347" s="1889" t="str">
        <f>'Part II-Development Team'!H102</f>
        <v>MO</v>
      </c>
      <c r="I347" s="1864"/>
      <c r="J347" s="1864"/>
      <c r="K347" s="1880" t="s">
        <v>2128</v>
      </c>
      <c r="L347" s="1878">
        <f>'Part II-Development Team'!L102</f>
        <v>652034955</v>
      </c>
      <c r="M347" s="1915"/>
      <c r="N347" s="1864"/>
      <c r="O347" s="1889" t="s">
        <v>1889</v>
      </c>
      <c r="P347" s="1864"/>
      <c r="Q347" s="1879">
        <f>'Part II-Development Team'!Q102</f>
        <v>0</v>
      </c>
      <c r="R347" s="1879"/>
      <c r="S347" s="1879"/>
      <c r="Z347" s="1869">
        <v>102</v>
      </c>
    </row>
    <row r="348" spans="2:26" s="1866" customFormat="1" ht="11.25" customHeight="1">
      <c r="E348" s="1859" t="s">
        <v>3614</v>
      </c>
      <c r="F348" s="1857"/>
      <c r="G348" s="1857"/>
      <c r="H348" s="1879">
        <f>'Part II-Development Team'!H103</f>
        <v>5738747777</v>
      </c>
      <c r="I348" s="1879"/>
      <c r="J348" s="1919">
        <f>'Part II-Development Team'!J103</f>
        <v>0</v>
      </c>
      <c r="K348" s="1880" t="s">
        <v>1894</v>
      </c>
      <c r="L348" s="1873" t="str">
        <f>'Part II-Development Team'!L103</f>
        <v>tom@vanmatre.com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Tidwell Group</v>
      </c>
      <c r="I350" s="1915"/>
      <c r="J350" s="1915"/>
      <c r="K350" s="1915"/>
      <c r="L350" s="1915"/>
      <c r="M350" s="1915"/>
      <c r="N350" s="1915"/>
      <c r="O350" s="1889" t="s">
        <v>1899</v>
      </c>
      <c r="P350" s="1889"/>
      <c r="Q350" s="1864" t="str">
        <f>'Part II-Development Team'!Q105</f>
        <v>Joshua Northcutt</v>
      </c>
      <c r="R350" s="1915"/>
      <c r="S350" s="1915"/>
      <c r="Z350" s="1858">
        <v>105</v>
      </c>
    </row>
    <row r="351" spans="2:26" s="1857" customFormat="1" ht="11.25" customHeight="1">
      <c r="D351" s="1888"/>
      <c r="E351" s="1859" t="s">
        <v>982</v>
      </c>
      <c r="F351" s="1861"/>
      <c r="H351" s="1864" t="str">
        <f>'Part II-Development Team'!H106</f>
        <v>345 Peachtree Industrial Pkwy, Suite 1206</v>
      </c>
      <c r="I351" s="1915"/>
      <c r="J351" s="1915"/>
      <c r="K351" s="1915"/>
      <c r="L351" s="1915"/>
      <c r="M351" s="1915"/>
      <c r="N351" s="1915"/>
      <c r="O351" s="1889" t="s">
        <v>1668</v>
      </c>
      <c r="P351" s="1864"/>
      <c r="Q351" s="1864" t="str">
        <f>'Part II-Development Team'!Q106</f>
        <v>Office Managing Partner</v>
      </c>
      <c r="R351" s="1915"/>
      <c r="S351" s="1915"/>
      <c r="Z351" s="1858">
        <v>106</v>
      </c>
    </row>
    <row r="352" spans="2:26" s="1857" customFormat="1" ht="11.25" customHeight="1">
      <c r="D352" s="1888"/>
      <c r="E352" s="1859" t="s">
        <v>588</v>
      </c>
      <c r="H352" s="1864" t="str">
        <f>'Part II-Development Team'!H107</f>
        <v>Suwannee</v>
      </c>
      <c r="I352" s="1915"/>
      <c r="J352" s="1915"/>
      <c r="K352" s="1880" t="s">
        <v>2553</v>
      </c>
      <c r="L352" s="1864" t="str">
        <f>'Part II-Development Team'!L107</f>
        <v>https://tidwellgroup.com/</v>
      </c>
      <c r="M352" s="1915"/>
      <c r="N352" s="1915"/>
      <c r="O352" s="1889" t="s">
        <v>1644</v>
      </c>
      <c r="P352" s="1864"/>
      <c r="Q352" s="1879">
        <f>'Part II-Development Team'!Q107</f>
        <v>4702736610</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300240000</v>
      </c>
      <c r="M353" s="1915"/>
      <c r="N353" s="1864"/>
      <c r="O353" s="1889" t="s">
        <v>1889</v>
      </c>
      <c r="P353" s="1864"/>
      <c r="Q353" s="1879">
        <f>'Part II-Development Team'!Q108</f>
        <v>0</v>
      </c>
      <c r="R353" s="1879"/>
      <c r="S353" s="1879"/>
      <c r="Z353" s="1858">
        <v>108</v>
      </c>
    </row>
    <row r="354" spans="1:26" s="1866" customFormat="1" ht="11.25" customHeight="1">
      <c r="E354" s="1859" t="s">
        <v>3614</v>
      </c>
      <c r="F354" s="1857"/>
      <c r="G354" s="1857"/>
      <c r="H354" s="1879">
        <f>'Part II-Development Team'!H109</f>
        <v>4702736610</v>
      </c>
      <c r="I354" s="1879"/>
      <c r="J354" s="1919">
        <f>'Part II-Development Team'!J109</f>
        <v>0</v>
      </c>
      <c r="K354" s="1880" t="s">
        <v>1894</v>
      </c>
      <c r="L354" s="1873" t="str">
        <f>'Part II-Development Team'!L109</f>
        <v>joshua.northcut@tidwellgroup.com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 Architects,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Street, Suite 200</v>
      </c>
      <c r="I357" s="1915"/>
      <c r="J357" s="1915"/>
      <c r="K357" s="1915"/>
      <c r="L357" s="1915"/>
      <c r="M357" s="1915"/>
      <c r="N357" s="1915"/>
      <c r="O357" s="1889" t="s">
        <v>1668</v>
      </c>
      <c r="P357" s="1864"/>
      <c r="Q357" s="1864" t="str">
        <f>'Part II-Development Team'!Q112</f>
        <v>Vice President</v>
      </c>
      <c r="R357" s="1915"/>
      <c r="S357" s="1915"/>
      <c r="Z357" s="1858">
        <v>112</v>
      </c>
    </row>
    <row r="358" spans="1:26" s="1857" customFormat="1" ht="11.25" customHeight="1">
      <c r="D358" s="1888"/>
      <c r="E358" s="1859" t="s">
        <v>588</v>
      </c>
      <c r="H358" s="1864" t="str">
        <f>'Part II-Development Team'!H113</f>
        <v>Decatur</v>
      </c>
      <c r="I358" s="1915"/>
      <c r="J358" s="1915"/>
      <c r="K358" s="1880" t="s">
        <v>2553</v>
      </c>
      <c r="L358" s="1864" t="str">
        <f>'Part II-Development Team'!L113</f>
        <v>www.martinriley.com</v>
      </c>
      <c r="M358" s="1915"/>
      <c r="N358" s="1915"/>
      <c r="O358" s="1889" t="s">
        <v>1644</v>
      </c>
      <c r="P358" s="1864"/>
      <c r="Q358" s="1879">
        <f>'Part II-Development Team'!Q113</f>
        <v>4043732800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300303329</v>
      </c>
      <c r="M359" s="1915"/>
      <c r="N359" s="1864"/>
      <c r="O359" s="1889" t="s">
        <v>1889</v>
      </c>
      <c r="P359" s="1864"/>
      <c r="Q359" s="1879">
        <f>'Part II-Development Team'!Q114</f>
        <v>0</v>
      </c>
      <c r="R359" s="1879"/>
      <c r="S359" s="1879"/>
      <c r="Z359" s="1858">
        <v>114</v>
      </c>
    </row>
    <row r="360" spans="1:26" s="1857" customFormat="1" ht="11.25" customHeight="1">
      <c r="D360" s="1888"/>
      <c r="E360" s="1859" t="s">
        <v>3614</v>
      </c>
      <c r="H360" s="1879">
        <f>'Part II-Development Team'!H115</f>
        <v>4043732800</v>
      </c>
      <c r="I360" s="1879"/>
      <c r="J360" s="1919">
        <f>'Part II-Development Team'!J115</f>
        <v>0</v>
      </c>
      <c r="K360" s="1880" t="s">
        <v>1894</v>
      </c>
      <c r="L360" s="1873" t="str">
        <f>'Part II-Development Team'!L115</f>
        <v>mriley@martinriley.com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7019</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7086</v>
      </c>
      <c r="H365" s="1864" t="str">
        <f>'Part II-Development Team'!H120</f>
        <v>Kyi Mun Kim and Kyung Soon Kim</v>
      </c>
      <c r="I365" s="1864"/>
      <c r="J365" s="1864"/>
      <c r="K365" s="1880" t="s">
        <v>1716</v>
      </c>
      <c r="L365" s="1864">
        <f>'Part II-Development Team'!L120</f>
        <v>0</v>
      </c>
      <c r="M365" s="1915"/>
      <c r="N365" s="1915"/>
      <c r="O365" s="1889" t="s">
        <v>3262</v>
      </c>
      <c r="P365" s="1864"/>
      <c r="Q365" s="1879">
        <f>'Part II-Development Team'!Q120</f>
        <v>7062918000</v>
      </c>
      <c r="R365" s="1965"/>
      <c r="S365" s="1965"/>
      <c r="Z365" s="1858">
        <v>120</v>
      </c>
    </row>
    <row r="366" spans="1:26" s="1857" customFormat="1" ht="11.25" customHeight="1">
      <c r="D366" s="1888"/>
      <c r="E366" s="1859" t="s">
        <v>6486</v>
      </c>
      <c r="F366" s="1861"/>
      <c r="H366" s="1864" t="str">
        <f>'Part II-Development Team'!H121</f>
        <v>7 Canterbury Place S.W.</v>
      </c>
      <c r="I366" s="1915"/>
      <c r="J366" s="1915"/>
      <c r="K366" s="1915"/>
      <c r="L366" s="1915"/>
      <c r="M366" s="1915"/>
      <c r="N366" s="1915"/>
      <c r="O366" s="1889" t="s">
        <v>588</v>
      </c>
      <c r="P366" s="1864"/>
      <c r="Q366" s="1864" t="str">
        <f>'Part II-Development Team'!Q121</f>
        <v>Rome</v>
      </c>
      <c r="R366" s="1915"/>
      <c r="S366" s="1915"/>
      <c r="Z366" s="1858">
        <v>121</v>
      </c>
    </row>
    <row r="367" spans="1:26" s="1857" customFormat="1">
      <c r="D367" s="1888"/>
      <c r="E367" s="1859" t="s">
        <v>1717</v>
      </c>
      <c r="H367" s="1889" t="str">
        <f>'Part II-Development Team'!H122</f>
        <v>GA</v>
      </c>
      <c r="I367" s="1880" t="s">
        <v>2128</v>
      </c>
      <c r="J367" s="1878">
        <f>'Part II-Development Team'!J122</f>
        <v>301650000</v>
      </c>
      <c r="K367" s="1915"/>
      <c r="L367" s="1880" t="s">
        <v>1894</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7087</v>
      </c>
      <c r="H369" s="1864">
        <f>'Part II-Development Team'!H124</f>
        <v>0</v>
      </c>
      <c r="I369" s="1864"/>
      <c r="J369" s="1864"/>
      <c r="K369" s="1880" t="s">
        <v>1716</v>
      </c>
      <c r="L369" s="1864">
        <f>'Part II-Development Team'!L124</f>
        <v>0</v>
      </c>
      <c r="M369" s="1915"/>
      <c r="N369" s="1915"/>
      <c r="O369" s="1889" t="s">
        <v>3262</v>
      </c>
      <c r="P369" s="1864"/>
      <c r="Q369" s="1879">
        <f>'Part II-Development Team'!Q124</f>
        <v>0</v>
      </c>
      <c r="R369" s="1965"/>
      <c r="S369" s="1965"/>
      <c r="Z369" s="1858">
        <v>124</v>
      </c>
    </row>
    <row r="370" spans="3:26" s="1857" customFormat="1">
      <c r="D370" s="1888"/>
      <c r="E370" s="1859" t="s">
        <v>6486</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7020</v>
      </c>
      <c r="H373" s="1864">
        <f>'Part II-Development Team'!H128</f>
        <v>0</v>
      </c>
      <c r="I373" s="1864"/>
      <c r="J373" s="1864"/>
      <c r="K373" s="1880" t="s">
        <v>1716</v>
      </c>
      <c r="L373" s="1864">
        <f>'Part II-Development Team'!L128</f>
        <v>0</v>
      </c>
      <c r="M373" s="1915"/>
      <c r="N373" s="1915"/>
      <c r="O373" s="1889" t="s">
        <v>3262</v>
      </c>
      <c r="P373" s="1864"/>
      <c r="Q373" s="1879">
        <f>'Part II-Development Team'!Q128</f>
        <v>0</v>
      </c>
      <c r="R373" s="1965"/>
      <c r="S373" s="1965"/>
      <c r="Z373" s="1858">
        <v>128</v>
      </c>
    </row>
    <row r="374" spans="3:26" s="1857" customFormat="1">
      <c r="D374" s="1888"/>
      <c r="E374" s="1859" t="s">
        <v>6486</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7088</v>
      </c>
      <c r="H377" s="1864">
        <f>'Part II-Development Team'!H132</f>
        <v>0</v>
      </c>
      <c r="I377" s="1864"/>
      <c r="J377" s="1864"/>
      <c r="K377" s="1880" t="s">
        <v>1716</v>
      </c>
      <c r="L377" s="1864">
        <f>'Part II-Development Team'!L132</f>
        <v>0</v>
      </c>
      <c r="M377" s="1915"/>
      <c r="N377" s="1915"/>
      <c r="O377" s="1889" t="s">
        <v>3262</v>
      </c>
      <c r="P377" s="1864"/>
      <c r="Q377" s="1879">
        <f>'Part II-Development Team'!Q132</f>
        <v>0</v>
      </c>
      <c r="R377" s="1965"/>
      <c r="S377" s="1965"/>
      <c r="Z377" s="1858">
        <v>132</v>
      </c>
    </row>
    <row r="378" spans="3:26" s="1857" customFormat="1">
      <c r="D378" s="1888"/>
      <c r="E378" s="1859" t="s">
        <v>6486</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7021</v>
      </c>
      <c r="H381" s="1864">
        <f>'Part II-Development Team'!H136</f>
        <v>0</v>
      </c>
      <c r="I381" s="1864"/>
      <c r="J381" s="1864"/>
      <c r="K381" s="1880" t="s">
        <v>1716</v>
      </c>
      <c r="L381" s="1864">
        <f>'Part II-Development Team'!L136</f>
        <v>0</v>
      </c>
      <c r="M381" s="1915"/>
      <c r="N381" s="1915"/>
      <c r="O381" s="1889" t="s">
        <v>3262</v>
      </c>
      <c r="P381" s="1864"/>
      <c r="Q381" s="1879">
        <f>'Part II-Development Team'!Q136</f>
        <v>0</v>
      </c>
      <c r="R381" s="1965"/>
      <c r="S381" s="1965"/>
      <c r="Z381" s="1869">
        <v>136</v>
      </c>
    </row>
    <row r="382" spans="3:26" s="1857" customFormat="1">
      <c r="D382" s="1888"/>
      <c r="E382" s="1859" t="s">
        <v>6486</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7089</v>
      </c>
      <c r="H385" s="1864">
        <f>'Part II-Development Team'!H140</f>
        <v>0</v>
      </c>
      <c r="I385" s="1864"/>
      <c r="J385" s="1864"/>
      <c r="K385" s="1880" t="s">
        <v>1716</v>
      </c>
      <c r="L385" s="1864">
        <f>'Part II-Development Team'!L140</f>
        <v>0</v>
      </c>
      <c r="M385" s="1915"/>
      <c r="N385" s="1915"/>
      <c r="O385" s="1889" t="s">
        <v>3262</v>
      </c>
      <c r="P385" s="1864"/>
      <c r="Q385" s="1879">
        <f>'Part II-Development Team'!Q140</f>
        <v>0</v>
      </c>
      <c r="R385" s="1965"/>
      <c r="S385" s="1965"/>
      <c r="Z385" s="1858">
        <v>140</v>
      </c>
    </row>
    <row r="386" spans="1:26" s="1857" customFormat="1">
      <c r="D386" s="1888"/>
      <c r="E386" s="1859" t="s">
        <v>6486</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7022</v>
      </c>
      <c r="H389" s="1864">
        <f>'Part II-Development Team'!H144</f>
        <v>0</v>
      </c>
      <c r="I389" s="1864"/>
      <c r="J389" s="1864"/>
      <c r="K389" s="1880" t="s">
        <v>1716</v>
      </c>
      <c r="L389" s="1864">
        <f>'Part II-Development Team'!L144</f>
        <v>0</v>
      </c>
      <c r="M389" s="1915"/>
      <c r="N389" s="1915"/>
      <c r="O389" s="1889" t="s">
        <v>3262</v>
      </c>
      <c r="P389" s="1864"/>
      <c r="Q389" s="1879">
        <f>'Part II-Development Team'!Q144</f>
        <v>0</v>
      </c>
      <c r="R389" s="1965"/>
      <c r="S389" s="1965"/>
      <c r="Z389" s="1858">
        <v>144</v>
      </c>
    </row>
    <row r="390" spans="1:26" s="1857" customFormat="1" ht="11.25" customHeight="1">
      <c r="D390" s="1888"/>
      <c r="E390" s="1859" t="s">
        <v>6486</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7023</v>
      </c>
      <c r="H393" s="1864">
        <f>'Part II-Development Team'!H148</f>
        <v>0</v>
      </c>
      <c r="I393" s="1864"/>
      <c r="J393" s="1864"/>
      <c r="K393" s="1880" t="s">
        <v>1716</v>
      </c>
      <c r="L393" s="1864">
        <f>'Part II-Development Team'!L148</f>
        <v>0</v>
      </c>
      <c r="M393" s="1915"/>
      <c r="N393" s="1915"/>
      <c r="O393" s="1889" t="s">
        <v>3262</v>
      </c>
      <c r="P393" s="1864"/>
      <c r="Q393" s="1879">
        <f>'Part II-Development Team'!Q148</f>
        <v>0</v>
      </c>
      <c r="R393" s="1965"/>
      <c r="S393" s="1965"/>
      <c r="Z393" s="1858">
        <v>148</v>
      </c>
    </row>
    <row r="394" spans="1:26" s="1857" customFormat="1" ht="11.25" customHeight="1">
      <c r="D394" s="1888"/>
      <c r="E394" s="1859" t="s">
        <v>6486</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6843</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6795</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6484</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Yes</v>
      </c>
      <c r="I404" s="1952" t="str">
        <f>'Part II-Development Team'!I159</f>
        <v>The federal and State Syndicator and the General Contractor are related parties.</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4073</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4072</v>
      </c>
      <c r="C407" s="1855" t="str">
        <f>+'Part II-Development Team'!C162</f>
        <v>Other (Indicate the 2 roles involved)</v>
      </c>
      <c r="D407" s="1855"/>
      <c r="E407" s="1855"/>
      <c r="F407" s="1855"/>
      <c r="G407" s="1855"/>
      <c r="H407" s="1967" t="str">
        <f>'Part II-Development Team'!H162</f>
        <v>Yes</v>
      </c>
      <c r="I407" s="1952" t="str">
        <f>'Part II-Development Team'!I162</f>
        <v>The Federal and State Syndicator and the Management Company are related parties.</v>
      </c>
      <c r="J407" s="1952"/>
      <c r="K407" s="1952"/>
      <c r="L407" s="1952"/>
      <c r="M407" s="1952"/>
      <c r="N407" s="1952"/>
      <c r="O407" s="1952"/>
      <c r="P407" s="1952"/>
      <c r="Q407" s="1952"/>
      <c r="R407" s="1952"/>
      <c r="S407" s="1952"/>
      <c r="Z407" s="1858">
        <v>162</v>
      </c>
    </row>
    <row r="408" spans="1:26" s="1857" customFormat="1" ht="13.35" customHeight="1">
      <c r="A408" s="1857" t="s">
        <v>1711</v>
      </c>
      <c r="B408" s="1857" t="s">
        <v>7090</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6844</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7024</v>
      </c>
      <c r="L411" s="1908" t="s">
        <v>7025</v>
      </c>
      <c r="M411" s="1906" t="s">
        <v>7026</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7091</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t="str">
        <f>'Part II-Development Team'!I176</f>
        <v>No</v>
      </c>
      <c r="J421" s="1967" t="str">
        <f>'Part II-Development Team'!J176</f>
        <v>No</v>
      </c>
      <c r="K421" s="1970">
        <f>'Part II-Development Team'!K176</f>
        <v>0</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No</v>
      </c>
      <c r="J425" s="1967" t="str">
        <f>'Part II-Development Team'!J180</f>
        <v>No</v>
      </c>
      <c r="K425" s="1970" t="str">
        <f>'Part II-Development Team'!K180</f>
        <v>Nonprofit</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Please see Tab 47 for the consulting agreement with South Rome Redevelopment Corporation.</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2021-050 Sparrow Pointe, Rome, Floyd County</v>
      </c>
      <c r="B436" s="1857"/>
      <c r="C436" s="1857"/>
      <c r="D436" s="1857"/>
      <c r="E436" s="1857"/>
      <c r="F436" s="1857"/>
      <c r="G436" s="1857"/>
      <c r="H436" s="1857"/>
      <c r="I436" s="1857"/>
      <c r="J436" s="1857"/>
      <c r="K436" s="1857"/>
      <c r="L436" s="1857"/>
      <c r="M436" s="1857"/>
      <c r="N436" s="1857"/>
      <c r="O436" s="1857"/>
      <c r="P436" s="1857"/>
      <c r="Q436" s="1857"/>
      <c r="S436" s="1876" t="str">
        <f>$A$2</f>
        <v>Sparrow Pointe</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f>'Part III-Sources of Funds'!E6</f>
        <v>0</v>
      </c>
      <c r="F440" s="1860" t="s">
        <v>6289</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4057</v>
      </c>
      <c r="D441" s="1857"/>
      <c r="E441" s="1880">
        <f>'Part III-Sources of Funds'!E7</f>
        <v>0</v>
      </c>
      <c r="F441" s="1860" t="s">
        <v>6290</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6291</v>
      </c>
      <c r="H442" s="1870" t="str">
        <f>'Part III-Sources of Funds'!H8</f>
        <v>Specify Other HOME Source here</v>
      </c>
      <c r="I442" s="1870"/>
      <c r="J442" s="1870"/>
      <c r="L442" s="1880">
        <f>'Part III-Sources of Funds'!L8</f>
        <v>0</v>
      </c>
      <c r="M442" s="1860" t="s">
        <v>3276</v>
      </c>
      <c r="P442" s="1891"/>
      <c r="Q442" s="1891"/>
      <c r="S442" s="1957"/>
      <c r="T442" s="1957"/>
      <c r="Y442" s="1973"/>
      <c r="Z442" s="1858">
        <v>8</v>
      </c>
      <c r="AZ442" s="1973"/>
    </row>
    <row r="443" spans="1:52" s="1876" customFormat="1" ht="16.5" customHeight="1">
      <c r="A443" s="1858"/>
      <c r="B443" s="1880">
        <f>'Part III-Sources of Funds'!B9</f>
        <v>0</v>
      </c>
      <c r="C443" s="1876" t="s">
        <v>3440</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4058</v>
      </c>
      <c r="Q443" s="1891"/>
      <c r="S443" s="1957"/>
      <c r="T443" s="1957"/>
      <c r="Y443" s="1973"/>
      <c r="Z443" s="1858">
        <v>9</v>
      </c>
      <c r="AZ443" s="1973"/>
    </row>
    <row r="444" spans="1:52" s="1876" customFormat="1" ht="16.5" customHeight="1">
      <c r="A444" s="1858"/>
      <c r="B444" s="1880">
        <f>'Part III-Sources of Funds'!B10</f>
        <v>0</v>
      </c>
      <c r="C444" s="1860" t="s">
        <v>2481</v>
      </c>
      <c r="F444" s="1870" t="str">
        <f>'Part III-Sources of Funds'!F10</f>
        <v>Specify Source/Administrator of Other FEDERAL Funding here</v>
      </c>
      <c r="G444" s="1870"/>
      <c r="H444" s="1870"/>
      <c r="I444" s="1870"/>
      <c r="J444" s="1870"/>
      <c r="L444" s="1880">
        <f>'Part III-Sources of Funds'!L10</f>
        <v>0</v>
      </c>
      <c r="M444" s="1860" t="s">
        <v>3319</v>
      </c>
      <c r="P444" s="1891"/>
      <c r="Q444" s="1891"/>
      <c r="S444" s="1957"/>
      <c r="T444" s="1957"/>
      <c r="Y444" s="1973"/>
      <c r="Z444" s="1869">
        <v>10</v>
      </c>
      <c r="AZ444" s="1973"/>
    </row>
    <row r="445" spans="1:52" s="1876" customFormat="1" ht="16.5" customHeight="1">
      <c r="A445" s="1858"/>
      <c r="B445" s="1880">
        <f>'Part III-Sources of Funds'!B11</f>
        <v>0</v>
      </c>
      <c r="C445" s="1860" t="s">
        <v>2482</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2486</v>
      </c>
      <c r="S445" s="1957"/>
      <c r="T445" s="1957"/>
      <c r="Y445" s="1973"/>
      <c r="Z445" s="1858">
        <v>11</v>
      </c>
      <c r="AZ445" s="1973"/>
    </row>
    <row r="446" spans="1:52" s="1876" customFormat="1" ht="16.5" customHeight="1">
      <c r="A446" s="1858"/>
      <c r="B446" s="1880">
        <f>'Part III-Sources of Funds'!B12</f>
        <v>0</v>
      </c>
      <c r="C446" s="1860" t="s">
        <v>3322</v>
      </c>
      <c r="F446" s="1870" t="str">
        <f>'Part III-Sources of Funds'!F12</f>
        <v>Specify Source/Administrator of Other STATE/LOCAL Funding here</v>
      </c>
      <c r="G446" s="1870"/>
      <c r="H446" s="1870"/>
      <c r="I446" s="1870"/>
      <c r="J446" s="1870"/>
      <c r="L446" s="1880">
        <f>'Part III-Sources of Funds'!L12</f>
        <v>0</v>
      </c>
      <c r="M446" s="1876" t="s">
        <v>3352</v>
      </c>
      <c r="S446" s="1957"/>
      <c r="T446" s="1957"/>
      <c r="Y446" s="1973"/>
      <c r="Z446" s="1858">
        <v>12</v>
      </c>
      <c r="AZ446" s="1973"/>
    </row>
    <row r="447" spans="1:52" s="1876" customFormat="1" ht="16.5" customHeight="1">
      <c r="A447" s="1858"/>
      <c r="B447" s="1880">
        <f>'Part III-Sources of Funds'!B13</f>
        <v>0</v>
      </c>
      <c r="C447" s="1860" t="s">
        <v>2485</v>
      </c>
      <c r="E447" s="1880">
        <f>'Part III-Sources of Funds'!E13</f>
        <v>0</v>
      </c>
      <c r="F447" s="1860" t="s">
        <v>3351</v>
      </c>
      <c r="H447" s="1870" t="str">
        <f>'Part III-Sources of Funds'!H13</f>
        <v>Specify Other PBRA Source here</v>
      </c>
      <c r="I447" s="1870"/>
      <c r="J447" s="1870"/>
      <c r="L447" s="1880">
        <f>'Part III-Sources of Funds'!L13</f>
        <v>0</v>
      </c>
      <c r="M447" s="1876" t="s">
        <v>6288</v>
      </c>
      <c r="S447" s="1957"/>
      <c r="T447" s="1957"/>
      <c r="Y447" s="1973"/>
      <c r="Z447" s="1858">
        <v>13</v>
      </c>
      <c r="AZ447" s="1973"/>
    </row>
    <row r="448" spans="1:52" s="1876" customFormat="1" ht="16.5" customHeight="1">
      <c r="A448" s="1858"/>
      <c r="B448" s="1880">
        <f>'Part III-Sources of Funds'!B14</f>
        <v>0</v>
      </c>
      <c r="C448" s="1876" t="s">
        <v>2484</v>
      </c>
      <c r="E448" s="1880">
        <f>'Part III-Sources of Funds'!E14</f>
        <v>0</v>
      </c>
      <c r="F448" s="1860" t="s">
        <v>3439</v>
      </c>
      <c r="L448" s="1880">
        <f>'Part III-Sources of Funds'!L14</f>
        <v>0</v>
      </c>
      <c r="M448" s="1876" t="s">
        <v>6535</v>
      </c>
      <c r="S448" s="1957"/>
      <c r="T448" s="1957"/>
      <c r="Y448" s="1973"/>
      <c r="Z448" s="1858">
        <v>14</v>
      </c>
      <c r="AZ448" s="1973"/>
    </row>
    <row r="449" spans="1:52" s="1876" customFormat="1" ht="16.5" customHeight="1">
      <c r="A449" s="1858"/>
      <c r="B449" s="1880">
        <f>'Part III-Sources of Funds'!B15</f>
        <v>0</v>
      </c>
      <c r="C449" s="1876" t="s">
        <v>3350</v>
      </c>
      <c r="E449" s="1880">
        <f>'Part III-Sources of Funds'!E15</f>
        <v>0</v>
      </c>
      <c r="F449" s="1860" t="s">
        <v>6292</v>
      </c>
      <c r="L449" s="1880">
        <f>'Part III-Sources of Funds'!L15</f>
        <v>0</v>
      </c>
      <c r="M449" s="1891" t="s">
        <v>6293</v>
      </c>
      <c r="Y449" s="1973"/>
      <c r="Z449" s="1858">
        <v>15</v>
      </c>
      <c r="AZ449" s="1973"/>
    </row>
    <row r="450" spans="1:52" s="1876" customFormat="1" ht="16.5" customHeight="1">
      <c r="A450" s="1858"/>
      <c r="B450" s="1880">
        <f>'Part III-Sources of Funds'!B16</f>
        <v>0</v>
      </c>
      <c r="C450" s="1860" t="s">
        <v>1720</v>
      </c>
      <c r="E450" s="1880">
        <f>'Part III-Sources of Funds'!E16</f>
        <v>0</v>
      </c>
      <c r="F450" s="1860" t="s">
        <v>6836</v>
      </c>
      <c r="I450" s="1976">
        <f>'Part III-Sources of Funds'!I16</f>
        <v>0</v>
      </c>
      <c r="J450" s="1977"/>
      <c r="L450" s="1880">
        <f>'Part III-Sources of Funds'!L16</f>
        <v>0</v>
      </c>
      <c r="M450" s="1891" t="s">
        <v>6287</v>
      </c>
      <c r="Y450" s="1973"/>
      <c r="Z450" s="1858">
        <v>16</v>
      </c>
      <c r="AZ450" s="1973"/>
    </row>
    <row r="451" spans="1:52" s="1876" customFormat="1" ht="17.100000000000001" customHeight="1">
      <c r="A451" s="1858"/>
      <c r="B451" s="1876" t="s">
        <v>4059</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4022</v>
      </c>
      <c r="M455" s="1857"/>
      <c r="N455" s="1857" t="s">
        <v>1446</v>
      </c>
      <c r="O455" s="1857"/>
      <c r="P455" s="1857" t="s">
        <v>1564</v>
      </c>
      <c r="Q455" s="1857"/>
      <c r="S455" s="1853" t="s">
        <v>2537</v>
      </c>
      <c r="T455" s="1853"/>
      <c r="Y455" s="1973"/>
      <c r="Z455" s="1858">
        <v>21</v>
      </c>
      <c r="AZ455" s="1973" t="s">
        <v>6652</v>
      </c>
    </row>
    <row r="456" spans="1:52" s="1876" customFormat="1" ht="15.75" customHeight="1">
      <c r="A456" s="1857"/>
      <c r="B456" s="1857" t="s">
        <v>1525</v>
      </c>
      <c r="C456" s="1857"/>
      <c r="D456" s="1857"/>
      <c r="E456" s="1857"/>
      <c r="F456" s="1857"/>
      <c r="G456" s="1857"/>
      <c r="H456" s="1864" t="str">
        <f>'Part III-Sources of Funds'!H22</f>
        <v>Sterling Bank</v>
      </c>
      <c r="I456" s="1864"/>
      <c r="J456" s="1864"/>
      <c r="K456" s="1864"/>
      <c r="L456" s="1872">
        <f>'Part III-Sources of Funds'!L22</f>
        <v>8595508</v>
      </c>
      <c r="M456" s="1872"/>
      <c r="N456" s="1978">
        <f>'Part III-Sources of Funds'!N22</f>
        <v>5.2499999999999998E-2</v>
      </c>
      <c r="O456" s="1978"/>
      <c r="P456" s="1979">
        <f>'Part III-Sources of Funds'!P22</f>
        <v>18</v>
      </c>
      <c r="Q456" s="1979"/>
      <c r="S456" s="1957"/>
      <c r="T456" s="1957"/>
      <c r="Y456" s="1973" t="s">
        <v>6652</v>
      </c>
      <c r="Z456" s="1858">
        <v>22</v>
      </c>
      <c r="AZ456" s="1973" t="s">
        <v>6653</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6653</v>
      </c>
      <c r="Z457" s="1858">
        <v>23</v>
      </c>
      <c r="AZ457" s="1973" t="s">
        <v>6654</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6654</v>
      </c>
      <c r="Z458" s="1858">
        <v>24</v>
      </c>
      <c r="AZ458" s="1973" t="s">
        <v>6655</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6655</v>
      </c>
      <c r="Z459" s="1858">
        <v>25</v>
      </c>
      <c r="AZ459" s="1973" t="s">
        <v>6656</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6656</v>
      </c>
      <c r="Z460" s="1869">
        <v>26</v>
      </c>
      <c r="AZ460" s="1973" t="s">
        <v>6657</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6657</v>
      </c>
      <c r="Z461" s="1858">
        <v>27</v>
      </c>
      <c r="AZ461" s="1973" t="s">
        <v>6658</v>
      </c>
    </row>
    <row r="462" spans="1:52" s="1876" customFormat="1" ht="15.75" customHeight="1">
      <c r="A462" s="1857"/>
      <c r="B462" s="1857" t="s">
        <v>769</v>
      </c>
      <c r="C462" s="1857"/>
      <c r="D462" s="1857"/>
      <c r="E462" s="1857"/>
      <c r="H462" s="1864" t="str">
        <f>'Part III-Sources of Funds'!H28</f>
        <v>Affordable Equity Partners, Inc.</v>
      </c>
      <c r="I462" s="1864"/>
      <c r="J462" s="1864"/>
      <c r="K462" s="1864"/>
      <c r="L462" s="1872">
        <f>'Part III-Sources of Funds'!L28</f>
        <v>1680978</v>
      </c>
      <c r="M462" s="1872"/>
      <c r="N462" s="1857"/>
      <c r="Q462" s="1857"/>
      <c r="S462" s="1957"/>
      <c r="T462" s="1957"/>
      <c r="Y462" s="1973" t="s">
        <v>6658</v>
      </c>
      <c r="Z462" s="1858">
        <v>28</v>
      </c>
      <c r="AZ462" s="1973" t="s">
        <v>6659</v>
      </c>
    </row>
    <row r="463" spans="1:52" s="1876" customFormat="1" ht="15.75" customHeight="1">
      <c r="A463" s="1857"/>
      <c r="B463" s="1857" t="s">
        <v>770</v>
      </c>
      <c r="C463" s="1857"/>
      <c r="D463" s="1857"/>
      <c r="E463" s="1857"/>
      <c r="H463" s="1864" t="str">
        <f>'Part III-Sources of Funds'!H29</f>
        <v>Affordable Equity Partners, Inc.</v>
      </c>
      <c r="I463" s="1864"/>
      <c r="J463" s="1864"/>
      <c r="K463" s="1864"/>
      <c r="L463" s="1872">
        <f>'Part III-Sources of Funds'!L29</f>
        <v>796124</v>
      </c>
      <c r="M463" s="1872"/>
      <c r="N463" s="1857"/>
      <c r="Q463" s="1857"/>
      <c r="S463" s="1957"/>
      <c r="T463" s="1957"/>
      <c r="Y463" s="1973" t="s">
        <v>6659</v>
      </c>
      <c r="Z463" s="1858">
        <v>29</v>
      </c>
      <c r="AZ463" s="1973" t="s">
        <v>6660</v>
      </c>
    </row>
    <row r="464" spans="1:52" s="1876" customFormat="1" ht="15.75" customHeight="1">
      <c r="A464" s="1857"/>
      <c r="B464" s="1857" t="s">
        <v>231</v>
      </c>
      <c r="C464" s="1857"/>
      <c r="D464" s="1864" t="str">
        <f>'Part III-Sources of Funds'!D30</f>
        <v>GP &amp; LP Equity</v>
      </c>
      <c r="E464" s="1864"/>
      <c r="F464" s="1864"/>
      <c r="G464" s="1864"/>
      <c r="H464" s="1864">
        <f>'Part III-Sources of Funds'!H30</f>
        <v>0</v>
      </c>
      <c r="I464" s="1864"/>
      <c r="J464" s="1864"/>
      <c r="K464" s="1864"/>
      <c r="L464" s="1872">
        <f>'Part III-Sources of Funds'!L30</f>
        <v>110</v>
      </c>
      <c r="M464" s="1872"/>
      <c r="N464" s="1857"/>
      <c r="Q464" s="1857"/>
      <c r="S464" s="1957"/>
      <c r="T464" s="1957"/>
      <c r="Y464" s="1973" t="s">
        <v>6660</v>
      </c>
      <c r="Z464" s="1858">
        <v>30</v>
      </c>
      <c r="AZ464" s="1973" t="s">
        <v>6661</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6661</v>
      </c>
      <c r="Z465" s="1858">
        <v>31</v>
      </c>
      <c r="AZ465" s="1973" t="s">
        <v>6662</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6662</v>
      </c>
      <c r="Z466" s="1858">
        <v>32</v>
      </c>
      <c r="AZ466" s="1973"/>
    </row>
    <row r="467" spans="1:52" s="1876" customFormat="1" ht="16.5" customHeight="1">
      <c r="A467" s="1857"/>
      <c r="B467" s="1859" t="s">
        <v>1250</v>
      </c>
      <c r="C467" s="1857"/>
      <c r="D467" s="1857"/>
      <c r="E467" s="1857"/>
      <c r="F467" s="1857"/>
      <c r="G467" s="1857"/>
      <c r="H467" s="1857"/>
      <c r="I467" s="1857"/>
      <c r="L467" s="1981">
        <f>SUM(L456:L466)</f>
        <v>11072720</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11072720</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4021</v>
      </c>
      <c r="J473" s="1857"/>
      <c r="K473" s="1858" t="s">
        <v>1722</v>
      </c>
      <c r="L473" s="1858" t="s">
        <v>2113</v>
      </c>
      <c r="M473" s="1858" t="s">
        <v>2113</v>
      </c>
      <c r="N473" s="1857" t="s">
        <v>69</v>
      </c>
      <c r="O473" s="1857"/>
      <c r="P473" s="1875"/>
      <c r="Q473" s="1875"/>
      <c r="S473" s="1853" t="s">
        <v>2537</v>
      </c>
      <c r="T473" s="1853"/>
      <c r="Y473" s="1973"/>
      <c r="Z473" s="1858">
        <v>39</v>
      </c>
      <c r="AZ473" s="1973" t="s">
        <v>6663</v>
      </c>
    </row>
    <row r="474" spans="1:52" s="1876" customFormat="1" ht="15.75" customHeight="1">
      <c r="A474" s="1857"/>
      <c r="B474" s="1857" t="s">
        <v>2490</v>
      </c>
      <c r="C474" s="1857"/>
      <c r="D474" s="1857"/>
      <c r="E474" s="1864">
        <f>'Part III-Sources of Funds'!E40</f>
        <v>0</v>
      </c>
      <c r="F474" s="1864"/>
      <c r="G474" s="1864"/>
      <c r="H474" s="1864"/>
      <c r="I474" s="1895">
        <f>'Part III-Sources of Funds'!I40</f>
        <v>0</v>
      </c>
      <c r="J474" s="1864"/>
      <c r="K474" s="1984">
        <f>'Part III-Sources of Funds'!K40</f>
        <v>0</v>
      </c>
      <c r="L474" s="1880">
        <f>'Part III-Sources of Funds'!L40</f>
        <v>0</v>
      </c>
      <c r="M474" s="1880">
        <f>'Part III-Sources of Funds'!M40</f>
        <v>0</v>
      </c>
      <c r="N474" s="1864">
        <f>'Part III-Sources of Funds'!N40</f>
        <v>0</v>
      </c>
      <c r="O474" s="1864"/>
      <c r="P474" s="1982" t="str">
        <f>'Part III-Sources of Funds'!P40</f>
        <v/>
      </c>
      <c r="Q474" s="1982"/>
      <c r="S474" s="1957"/>
      <c r="T474" s="1957"/>
      <c r="Y474" s="1973" t="s">
        <v>6663</v>
      </c>
      <c r="Z474" s="1858">
        <v>40</v>
      </c>
      <c r="AZ474" s="1973" t="s">
        <v>6664</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6664</v>
      </c>
      <c r="Z475" s="1858">
        <v>41</v>
      </c>
      <c r="AZ475" s="1973" t="s">
        <v>6665</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6665</v>
      </c>
      <c r="Z476" s="1858">
        <v>42</v>
      </c>
      <c r="AZ476" s="1973" t="s">
        <v>6666</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6666</v>
      </c>
      <c r="Z477" s="1858">
        <v>43</v>
      </c>
      <c r="AZ477" s="1973" t="s">
        <v>6667</v>
      </c>
    </row>
    <row r="478" spans="1:52" s="1876" customFormat="1" ht="15.75" customHeight="1">
      <c r="A478" s="1857"/>
      <c r="B478" s="1857" t="s">
        <v>4143</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6667</v>
      </c>
      <c r="Z478" s="1869">
        <v>44</v>
      </c>
      <c r="AZ478" s="1973" t="s">
        <v>6668</v>
      </c>
    </row>
    <row r="479" spans="1:52" s="1876" customFormat="1" ht="15.75" customHeight="1">
      <c r="A479" s="1857"/>
      <c r="B479" s="1857" t="s">
        <v>219</v>
      </c>
      <c r="C479" s="1857"/>
      <c r="D479" s="1986">
        <f>'Part III-Sources of Funds'!D45</f>
        <v>1.4291666666666667E-3</v>
      </c>
      <c r="E479" s="1864" t="str">
        <f>'Part III-Sources of Funds'!E45</f>
        <v>DDER Development, LLC</v>
      </c>
      <c r="F479" s="1864"/>
      <c r="G479" s="1864"/>
      <c r="H479" s="1864"/>
      <c r="I479" s="1895">
        <f>'Part III-Sources of Funds'!I45</f>
        <v>1715</v>
      </c>
      <c r="J479" s="1864"/>
      <c r="K479" s="1984">
        <f>'Part III-Sources of Funds'!K45</f>
        <v>0</v>
      </c>
      <c r="L479" s="1880">
        <f>'Part III-Sources of Funds'!L45</f>
        <v>15</v>
      </c>
      <c r="M479" s="1880">
        <f>'Part III-Sources of Funds'!M45</f>
        <v>0</v>
      </c>
      <c r="N479" s="1864" t="str">
        <f>'Part III-Sources of Funds'!N45</f>
        <v>Cash Flow</v>
      </c>
      <c r="O479" s="1864"/>
      <c r="P479" s="1982">
        <f>'Part III-Sources of Funds'!P45</f>
        <v>0</v>
      </c>
      <c r="Q479" s="1982"/>
      <c r="S479" s="1957"/>
      <c r="T479" s="1957"/>
      <c r="Y479" s="1973" t="s">
        <v>6668</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736381.49923383084</v>
      </c>
      <c r="H481" s="1990" t="s">
        <v>3557</v>
      </c>
      <c r="I481" s="1989">
        <f>'Part III-Sources of Funds'!I47</f>
        <v>1715</v>
      </c>
      <c r="K481" s="1990" t="s">
        <v>3559</v>
      </c>
      <c r="L481" s="1991">
        <f>'Part III-Sources of Funds'!L47</f>
        <v>2.3289558493584835E-3</v>
      </c>
      <c r="M481" s="1991"/>
      <c r="N481" s="1982" t="s">
        <v>4028</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6669</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6669</v>
      </c>
      <c r="Z483" s="1858">
        <v>49</v>
      </c>
      <c r="AZ483" s="1973" t="s">
        <v>6670</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6670</v>
      </c>
      <c r="Z484" s="1858">
        <v>50</v>
      </c>
      <c r="AZ484" s="1973" t="s">
        <v>6671</v>
      </c>
    </row>
    <row r="485" spans="1:52" s="1876" customFormat="1" ht="15.75" customHeight="1">
      <c r="A485" s="1857"/>
      <c r="B485" s="1857" t="s">
        <v>769</v>
      </c>
      <c r="C485" s="1857"/>
      <c r="D485" s="1857"/>
      <c r="E485" s="1864" t="str">
        <f>'Part III-Sources of Funds'!E51</f>
        <v>Affordable Equity Partners, Inc.</v>
      </c>
      <c r="F485" s="1864"/>
      <c r="G485" s="1864"/>
      <c r="H485" s="1864"/>
      <c r="I485" s="1895">
        <f>'Part III-Sources of Funds'!I51</f>
        <v>8404894</v>
      </c>
      <c r="J485" s="1864"/>
      <c r="L485" s="1996">
        <f>'Part III-Sources of Funds'!L51</f>
        <v>8490650</v>
      </c>
      <c r="M485" s="1996"/>
      <c r="N485" s="1997">
        <f>I485-L485</f>
        <v>-85756</v>
      </c>
      <c r="O485" s="1997"/>
      <c r="P485" s="1998">
        <f>I485/I495</f>
        <v>0.6785069848755213</v>
      </c>
      <c r="Q485" s="1857"/>
      <c r="S485" s="1957"/>
      <c r="T485" s="1957"/>
      <c r="Y485" s="1973" t="s">
        <v>6671</v>
      </c>
      <c r="Z485" s="1869">
        <v>51</v>
      </c>
      <c r="AZ485" s="1973" t="s">
        <v>6672</v>
      </c>
    </row>
    <row r="486" spans="1:52" s="1876" customFormat="1" ht="15.75" customHeight="1">
      <c r="A486" s="1857"/>
      <c r="B486" s="1857" t="s">
        <v>770</v>
      </c>
      <c r="C486" s="1857"/>
      <c r="D486" s="1857"/>
      <c r="E486" s="1864" t="str">
        <f>'Part III-Sources of Funds'!E52</f>
        <v>Affordable Equity Partners, Inc.</v>
      </c>
      <c r="F486" s="1864"/>
      <c r="G486" s="1864"/>
      <c r="H486" s="1864"/>
      <c r="I486" s="1895">
        <f>'Part III-Sources of Funds'!I52</f>
        <v>3980617</v>
      </c>
      <c r="J486" s="1864"/>
      <c r="L486" s="1996">
        <f>'Part III-Sources of Funds'!L52</f>
        <v>3895710</v>
      </c>
      <c r="M486" s="1996"/>
      <c r="N486" s="1997">
        <f>I486-L486</f>
        <v>84907</v>
      </c>
      <c r="O486" s="1997"/>
      <c r="P486" s="1998">
        <f>I486/I495</f>
        <v>0.32134568724058182</v>
      </c>
      <c r="Q486" s="1857"/>
      <c r="S486" s="1957"/>
      <c r="T486" s="1957"/>
      <c r="Y486" s="1973" t="s">
        <v>6672</v>
      </c>
      <c r="Z486" s="1858">
        <v>52</v>
      </c>
      <c r="AZ486" s="1973" t="s">
        <v>6673</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0.99985267211610318</v>
      </c>
      <c r="Q487" s="1857"/>
      <c r="S487" s="1957"/>
      <c r="T487" s="1957"/>
      <c r="Y487" s="1973" t="s">
        <v>6673</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6674</v>
      </c>
    </row>
    <row r="491" spans="1:52" s="1876" customFormat="1" ht="15.75" customHeight="1">
      <c r="A491" s="1857"/>
      <c r="B491" s="1857" t="s">
        <v>711</v>
      </c>
      <c r="C491" s="1864" t="str">
        <f>'Part III-Sources of Funds'!C57</f>
        <v>GP &amp; LP Equity</v>
      </c>
      <c r="D491" s="1864"/>
      <c r="E491" s="1864">
        <f>'Part III-Sources of Funds'!E57</f>
        <v>0</v>
      </c>
      <c r="F491" s="1864"/>
      <c r="G491" s="1864"/>
      <c r="H491" s="1864"/>
      <c r="I491" s="1895">
        <f>'Part III-Sources of Funds'!I57</f>
        <v>110</v>
      </c>
      <c r="J491" s="1864"/>
      <c r="M491" s="1857"/>
      <c r="N491" s="1857"/>
      <c r="O491" s="1857"/>
      <c r="P491" s="1857"/>
      <c r="Q491" s="1857"/>
      <c r="S491" s="1957"/>
      <c r="T491" s="1957"/>
      <c r="Y491" s="1973" t="s">
        <v>6674</v>
      </c>
      <c r="Z491" s="1858">
        <v>57</v>
      </c>
      <c r="AZ491" s="1973" t="s">
        <v>6675</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6675</v>
      </c>
      <c r="Z492" s="1858">
        <v>58</v>
      </c>
      <c r="AZ492" s="1973" t="s">
        <v>6676</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6676</v>
      </c>
      <c r="Z493" s="1858">
        <v>59</v>
      </c>
      <c r="AZ493" s="1973"/>
    </row>
    <row r="494" spans="1:52" s="1876" customFormat="1" ht="14.25" customHeight="1">
      <c r="A494" s="1857"/>
      <c r="B494" s="1859" t="s">
        <v>2115</v>
      </c>
      <c r="C494" s="1857"/>
      <c r="D494" s="1857"/>
      <c r="E494" s="1857"/>
      <c r="F494" s="1857"/>
      <c r="G494" s="1857"/>
      <c r="I494" s="1981">
        <f>SUM(I474:J479)+SUM(I483:J493)</f>
        <v>12387336</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12387336</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4144</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Please see Tab 1 for the construction financing commitment from Sterling Bank.</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2021-050 Sparrow Pointe, ,  County</v>
      </c>
      <c r="W505" s="1857" t="str">
        <f>A505</f>
        <v>PART FOUR (A):  USES OF FUNDS  -  2021-050 Sparrow Pointe,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8000</v>
      </c>
      <c r="H512" s="1872"/>
      <c r="J512" s="1872">
        <f>'Part IV-A-Uses of Funds'!J9</f>
        <v>8000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10000</v>
      </c>
      <c r="H513" s="1872"/>
      <c r="J513" s="1872">
        <f>'Part IV-A-Uses of Funds'!J10</f>
        <v>10000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15000</v>
      </c>
      <c r="H514" s="1872"/>
      <c r="J514" s="1872">
        <f>'Part IV-A-Uses of Funds'!J11</f>
        <v>15000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10000</v>
      </c>
      <c r="H515" s="1872"/>
      <c r="J515" s="1872">
        <f>'Part IV-A-Uses of Funds'!J12</f>
        <v>10000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6576</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6677</v>
      </c>
      <c r="BA518" s="1858">
        <v>15</v>
      </c>
    </row>
    <row r="519" spans="1:53" s="1857" customFormat="1" ht="11.25" customHeight="1">
      <c r="A519" s="2007" t="str">
        <f>IF(AND(G519&gt;0,OR(C519="",C519="&lt;Enter detailed description here; use Comments section if needed&gt;")),"X","")</f>
        <v/>
      </c>
      <c r="B519" s="1865" t="s">
        <v>6577</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6678</v>
      </c>
      <c r="BA519" s="1858">
        <v>16</v>
      </c>
    </row>
    <row r="520" spans="1:53" s="1857" customFormat="1" ht="11.25" customHeight="1">
      <c r="A520" s="2007" t="str">
        <f>IF(AND(G520&gt;0,OR(C520="",C520="&lt;Enter detailed description here; use Comments section if needed&gt;")),"X","")</f>
        <v/>
      </c>
      <c r="B520" s="1865" t="s">
        <v>6578</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6679</v>
      </c>
      <c r="BA520" s="1858">
        <v>17</v>
      </c>
    </row>
    <row r="521" spans="1:53" s="1857" customFormat="1" ht="12.6" customHeight="1">
      <c r="F521" s="2008" t="s">
        <v>183</v>
      </c>
      <c r="G521" s="2003">
        <f>SUM(G512:G520)</f>
        <v>58000</v>
      </c>
      <c r="H521" s="2003"/>
      <c r="J521" s="2003">
        <f>SUM(J512:J520)</f>
        <v>58000</v>
      </c>
      <c r="K521" s="2003"/>
      <c r="L521" s="1890"/>
      <c r="M521" s="2003">
        <f>SUM(M512:M520)</f>
        <v>0</v>
      </c>
      <c r="N521" s="2003"/>
      <c r="P521" s="2003">
        <f>SUM(P512:P520)</f>
        <v>0</v>
      </c>
      <c r="Q521" s="2003"/>
      <c r="S521" s="2003">
        <f>SUM(S512:S520)</f>
        <v>0</v>
      </c>
      <c r="T521" s="2003"/>
      <c r="V521" s="2005">
        <f>SUM(V512:V520)</f>
        <v>0</v>
      </c>
      <c r="W521" s="2006"/>
      <c r="X521" s="2006"/>
      <c r="AZ521" s="1938" t="s">
        <v>6680</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3353</v>
      </c>
      <c r="F523" s="2011">
        <f>IF('Part I-Project Information'!$O$38="","",G523/'Part I-Project Information'!$O$38)</f>
        <v>140845.07042253521</v>
      </c>
      <c r="G523" s="1872">
        <f>'Part IV-A-Uses of Funds'!G20</f>
        <v>1000000</v>
      </c>
      <c r="H523" s="1872"/>
      <c r="J523" s="1890"/>
      <c r="K523" s="2003"/>
      <c r="L523" s="1890"/>
      <c r="M523" s="1890"/>
      <c r="N523" s="2003"/>
      <c r="P523" s="1890"/>
      <c r="Q523" s="2003"/>
      <c r="S523" s="1872">
        <f>'Part IV-A-Uses of Funds'!S20</f>
        <v>1000000</v>
      </c>
      <c r="T523" s="1872"/>
      <c r="V523" s="2005"/>
      <c r="W523" s="2006"/>
      <c r="X523" s="2006"/>
      <c r="AZ523" s="1938"/>
      <c r="BA523" s="1858">
        <v>20</v>
      </c>
    </row>
    <row r="524" spans="1:53" s="1857" customFormat="1" ht="11.25" customHeight="1">
      <c r="B524" s="1857" t="s">
        <v>1079</v>
      </c>
      <c r="G524" s="1872">
        <f>'Part IV-A-Uses of Funds'!G21</f>
        <v>200000</v>
      </c>
      <c r="H524" s="1872"/>
      <c r="J524" s="1890"/>
      <c r="K524" s="2003"/>
      <c r="L524" s="1890"/>
      <c r="M524" s="1890"/>
      <c r="N524" s="2003"/>
      <c r="P524" s="1890"/>
      <c r="Q524" s="2003"/>
      <c r="S524" s="1872">
        <f>'Part IV-A-Uses of Funds'!S21</f>
        <v>200000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1200000</v>
      </c>
      <c r="H527" s="2003"/>
      <c r="J527" s="1890"/>
      <c r="K527" s="2003"/>
      <c r="L527" s="1890"/>
      <c r="M527" s="2003">
        <f>SUM(M525:M526)</f>
        <v>0</v>
      </c>
      <c r="N527" s="2003"/>
      <c r="P527" s="1890"/>
      <c r="Q527" s="2003"/>
      <c r="S527" s="2003">
        <f>SUM(S523:S526)</f>
        <v>1200000</v>
      </c>
      <c r="T527" s="2003"/>
      <c r="V527" s="2005">
        <f>SUM(V523:V526)</f>
        <v>0</v>
      </c>
      <c r="W527" s="2006"/>
      <c r="X527" s="2006"/>
      <c r="AZ527" s="1938" t="s">
        <v>6681</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3353</v>
      </c>
      <c r="F529" s="2011">
        <f>IF('Part I-Project Information'!$O$38="","",G529/'Part I-Project Information'!$O$38)</f>
        <v>250902.11267605636</v>
      </c>
      <c r="G529" s="1872">
        <f>'Part IV-A-Uses of Funds'!G26</f>
        <v>1781405</v>
      </c>
      <c r="H529" s="1872"/>
      <c r="J529" s="1872">
        <f>'Part IV-A-Uses of Funds'!J26</f>
        <v>1692335</v>
      </c>
      <c r="K529" s="1872"/>
      <c r="L529" s="1890"/>
      <c r="M529" s="1872">
        <f>'Part IV-A-Uses of Funds'!M26</f>
        <v>0</v>
      </c>
      <c r="N529" s="1872"/>
      <c r="P529" s="1872">
        <f>'Part IV-A-Uses of Funds'!P26</f>
        <v>0</v>
      </c>
      <c r="Q529" s="1872"/>
      <c r="S529" s="1872">
        <f>'Part IV-A-Uses of Funds'!S26</f>
        <v>89070</v>
      </c>
      <c r="T529" s="1872"/>
      <c r="V529" s="2005"/>
      <c r="W529" s="2006"/>
      <c r="X529" s="2006"/>
      <c r="AZ529" s="1938"/>
      <c r="BA529" s="1869">
        <v>26</v>
      </c>
    </row>
    <row r="530" spans="2:53" s="1857" customFormat="1" ht="11.25" customHeight="1">
      <c r="B530" s="1857" t="s">
        <v>1082</v>
      </c>
      <c r="G530" s="1872">
        <f>'Part IV-A-Uses of Funds'!G27</f>
        <v>146088</v>
      </c>
      <c r="H530" s="1872"/>
      <c r="J530" s="1872">
        <f>'Part IV-A-Uses of Funds'!J27</f>
        <v>0</v>
      </c>
      <c r="K530" s="1872"/>
      <c r="L530" s="2012"/>
      <c r="M530" s="2003"/>
      <c r="N530" s="2003"/>
      <c r="P530" s="2003"/>
      <c r="Q530" s="2003"/>
      <c r="S530" s="1872">
        <f>'Part IV-A-Uses of Funds'!S27</f>
        <v>146088</v>
      </c>
      <c r="T530" s="1872"/>
      <c r="V530" s="2005"/>
      <c r="W530" s="2006"/>
      <c r="X530" s="2006"/>
      <c r="AZ530" s="1938"/>
      <c r="BA530" s="1858">
        <v>27</v>
      </c>
    </row>
    <row r="531" spans="2:53" s="1857" customFormat="1" ht="12.6" customHeight="1">
      <c r="F531" s="2008" t="s">
        <v>183</v>
      </c>
      <c r="G531" s="2003">
        <f>SUM(G529:G530)</f>
        <v>1927493</v>
      </c>
      <c r="H531" s="2003"/>
      <c r="J531" s="2003">
        <f>SUM(J529:J530)</f>
        <v>1692335</v>
      </c>
      <c r="K531" s="2003"/>
      <c r="L531" s="1890"/>
      <c r="M531" s="2003">
        <f>M529</f>
        <v>0</v>
      </c>
      <c r="N531" s="2003"/>
      <c r="P531" s="2003">
        <f>P529</f>
        <v>0</v>
      </c>
      <c r="Q531" s="2003"/>
      <c r="S531" s="2003">
        <f>SUM(S529:S530)</f>
        <v>235158</v>
      </c>
      <c r="T531" s="2003"/>
      <c r="V531" s="2005">
        <f>SUM(V529:V530)</f>
        <v>0</v>
      </c>
      <c r="W531" s="2006"/>
      <c r="X531" s="2006"/>
      <c r="AZ531" s="1938" t="s">
        <v>6682</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5208690</v>
      </c>
      <c r="H533" s="1872"/>
      <c r="J533" s="1872">
        <f>'Part IV-A-Uses of Funds'!J30</f>
        <v>5208690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6299</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6297</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6298</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5208690</v>
      </c>
      <c r="H539" s="2003"/>
      <c r="J539" s="2003">
        <f>SUM(J533:J538)</f>
        <v>5208690</v>
      </c>
      <c r="K539" s="2003"/>
      <c r="L539" s="1890"/>
      <c r="M539" s="2003">
        <f>SUM(M533:M538)</f>
        <v>0</v>
      </c>
      <c r="N539" s="2003"/>
      <c r="P539" s="2003">
        <f>SUM(P533:P538)</f>
        <v>0</v>
      </c>
      <c r="Q539" s="2003"/>
      <c r="S539" s="2003">
        <f>SUM(S533:S538)</f>
        <v>0</v>
      </c>
      <c r="T539" s="2003"/>
      <c r="V539" s="2005">
        <f>SUM(V533:V538)</f>
        <v>0</v>
      </c>
      <c r="W539" s="2006"/>
      <c r="X539" s="2006"/>
      <c r="AZ539" s="1938" t="s">
        <v>6683</v>
      </c>
      <c r="BA539" s="1858">
        <v>36</v>
      </c>
    </row>
    <row r="540" spans="2:53" s="1857" customFormat="1" ht="12" customHeight="1">
      <c r="B540" s="1857" t="s">
        <v>2239</v>
      </c>
      <c r="D540" s="1876" t="s">
        <v>3357</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428170.98</v>
      </c>
      <c r="F541" s="2016">
        <f>IF(($G$28+$G$36)=0,0,G541/($G$28+$G$36))</f>
        <v>0</v>
      </c>
      <c r="G541" s="1872">
        <f>'Part IV-A-Uses of Funds'!G38</f>
        <v>428170</v>
      </c>
      <c r="H541" s="1872"/>
      <c r="I541" s="1866"/>
      <c r="J541" s="1872">
        <f>'Part IV-A-Uses of Funds'!J38</f>
        <v>428170</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142723.66</v>
      </c>
      <c r="F542" s="2016">
        <f>IF(($G$28+$G$36)=0,0,G542/($G$28+$G$36))</f>
        <v>0</v>
      </c>
      <c r="G542" s="1872">
        <f>'Part IV-A-Uses of Funds'!G39</f>
        <v>142723</v>
      </c>
      <c r="H542" s="1872"/>
      <c r="I542" s="1866"/>
      <c r="J542" s="1872">
        <f>'Part IV-A-Uses of Funds'!J39</f>
        <v>142723</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428170.98</v>
      </c>
      <c r="F543" s="2016">
        <f>IF(($G$28+$G$36)=0,0,G543/($G$28+$G$36))</f>
        <v>0</v>
      </c>
      <c r="G543" s="1872">
        <f>'Part IV-A-Uses of Funds'!G40</f>
        <v>428170</v>
      </c>
      <c r="H543" s="1872"/>
      <c r="I543" s="1866"/>
      <c r="J543" s="1872">
        <f>'Part IV-A-Uses of Funds'!J40</f>
        <v>428170</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3358</v>
      </c>
      <c r="D544" s="2015">
        <f>SUM(D541:D543)</f>
        <v>0.14000000000000001</v>
      </c>
      <c r="E544" s="2018">
        <f>SUM(E541:E543)</f>
        <v>999065.62</v>
      </c>
      <c r="F544" s="2008" t="s">
        <v>183</v>
      </c>
      <c r="G544" s="2003">
        <f>SUM(G541:G543)</f>
        <v>999063</v>
      </c>
      <c r="H544" s="2003"/>
      <c r="J544" s="2003">
        <f>SUM(J541:J543)</f>
        <v>999063</v>
      </c>
      <c r="K544" s="2003"/>
      <c r="L544" s="1890"/>
      <c r="M544" s="2003">
        <f>SUM(M541:M543)</f>
        <v>0</v>
      </c>
      <c r="N544" s="2003"/>
      <c r="P544" s="2003">
        <f>SUM(P541:P543)</f>
        <v>0</v>
      </c>
      <c r="Q544" s="2003"/>
      <c r="S544" s="2003">
        <f>SUM(S541:S543)</f>
        <v>0</v>
      </c>
      <c r="T544" s="2003"/>
      <c r="V544" s="2005">
        <f>SUM(V541:V543)</f>
        <v>0</v>
      </c>
      <c r="W544" s="2006"/>
      <c r="X544" s="2006"/>
      <c r="AZ544" s="1938" t="s">
        <v>6684</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8135246</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6685</v>
      </c>
      <c r="BA547" s="1858">
        <v>44</v>
      </c>
    </row>
    <row r="548" spans="1:53" s="1857" customFormat="1" ht="12" customHeight="1">
      <c r="B548" s="1857" t="s">
        <v>7092</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6579</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6686</v>
      </c>
      <c r="BA550" s="1869">
        <v>47</v>
      </c>
    </row>
    <row r="551" spans="1:53" s="1857" customFormat="1" ht="12.6" customHeight="1">
      <c r="B551" s="2021" t="s">
        <v>7093</v>
      </c>
      <c r="C551" s="2022"/>
      <c r="E551" s="1857" t="s">
        <v>2579</v>
      </c>
      <c r="F551" s="2023">
        <f>C552/'Part VI-Revenues &amp; Expenses'!$P$65</f>
        <v>162704.92000000001</v>
      </c>
      <c r="G551" s="2024" t="s">
        <v>7094</v>
      </c>
      <c r="J551" s="2025">
        <f>C552/'Part VI-Revenues &amp; Expenses'!$P$67</f>
        <v>162704.92000000001</v>
      </c>
      <c r="K551" s="2025"/>
      <c r="M551" s="2026" t="s">
        <v>6797</v>
      </c>
      <c r="N551" s="2026"/>
      <c r="P551" s="2025">
        <f>C552/'Part I-Project Information'!$P$70</f>
        <v>144.94870378619154</v>
      </c>
      <c r="Q551" s="2025"/>
      <c r="S551" s="1897" t="s">
        <v>6799</v>
      </c>
      <c r="T551" s="1897"/>
      <c r="V551" s="2009"/>
      <c r="W551" s="2006"/>
      <c r="X551" s="2006"/>
      <c r="AZ551" s="1938"/>
      <c r="BA551" s="1858">
        <v>48</v>
      </c>
    </row>
    <row r="552" spans="1:53" s="1857" customFormat="1" ht="12.6" customHeight="1">
      <c r="B552" s="2027" t="s">
        <v>6816</v>
      </c>
      <c r="C552" s="2028">
        <f>G531+G539+G544+G549</f>
        <v>8135246</v>
      </c>
      <c r="F552" s="2023">
        <f>C552/'Part VI-Revenues &amp; Expenses'!$P$166</f>
        <v>191.23756464503995</v>
      </c>
      <c r="G552" s="1897" t="s">
        <v>7095</v>
      </c>
      <c r="J552" s="2025">
        <f>C552/'Part VI-Revenues &amp; Expenses'!$P$168</f>
        <v>191.23756464503995</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7096</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6607</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406762.30000000005</v>
      </c>
      <c r="F558" s="2032">
        <f>G558/C552</f>
        <v>4.9999963123426139E-2</v>
      </c>
      <c r="G558" s="1872">
        <f>'Part IV-A-Uses of Funds'!G55</f>
        <v>406762</v>
      </c>
      <c r="H558" s="1872"/>
      <c r="I558" s="1857"/>
      <c r="J558" s="1872">
        <f>'Part IV-A-Uses of Funds'!J55</f>
        <v>406762</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6608</v>
      </c>
      <c r="C560" s="2022"/>
      <c r="E560" s="1857" t="s">
        <v>6609</v>
      </c>
      <c r="F560" s="2023">
        <f>B561/'Part VI-Revenues &amp; Expenses'!$P$65</f>
        <v>170840.16</v>
      </c>
      <c r="G560" s="2024" t="s">
        <v>7094</v>
      </c>
      <c r="J560" s="2025">
        <f>B561/'Part VI-Revenues &amp; Expenses'!$P$67</f>
        <v>170840.16</v>
      </c>
      <c r="K560" s="2025"/>
      <c r="M560" s="2026" t="s">
        <v>6797</v>
      </c>
      <c r="N560" s="2026"/>
      <c r="P560" s="2025">
        <f>B561/'Part I-Project Information'!$P$70</f>
        <v>152.19613363028952</v>
      </c>
      <c r="Q560" s="2025"/>
      <c r="S560" s="1897" t="s">
        <v>6799</v>
      </c>
      <c r="T560" s="1897"/>
      <c r="V560" s="2009"/>
      <c r="W560" s="2006"/>
      <c r="X560" s="2006"/>
      <c r="AZ560" s="1938"/>
      <c r="BA560" s="1858">
        <v>54</v>
      </c>
    </row>
    <row r="561" spans="1:53" s="1857" customFormat="1" ht="12.6" customHeight="1">
      <c r="B561" s="2028">
        <f>C552+G558</f>
        <v>8542008</v>
      </c>
      <c r="C561" s="2028"/>
      <c r="F561" s="2023">
        <f>B561/'Part VI-Revenues &amp; Expenses'!$P$166</f>
        <v>200.79943582510577</v>
      </c>
      <c r="G561" s="1897" t="s">
        <v>7095</v>
      </c>
      <c r="J561" s="2025">
        <f>B561/'Part VI-Revenues &amp; Expenses'!$P$168</f>
        <v>200.79943582510577</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3359</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3360</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85956</v>
      </c>
      <c r="H566" s="1872"/>
      <c r="J566" s="1872">
        <f>'Part IV-A-Uses of Funds'!J63</f>
        <v>85956</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286940</v>
      </c>
      <c r="H567" s="1872"/>
      <c r="J567" s="1872">
        <f>'Part IV-A-Uses of Funds'!J64</f>
        <v>286940</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2244</v>
      </c>
      <c r="G568" s="1872">
        <f>'Part IV-A-Uses of Funds'!G65</f>
        <v>25000</v>
      </c>
      <c r="H568" s="1872"/>
      <c r="J568" s="1872">
        <f>'Part IV-A-Uses of Funds'!J65</f>
        <v>25000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6687</v>
      </c>
      <c r="BA568" s="1858">
        <v>65</v>
      </c>
    </row>
    <row r="569" spans="1:53" s="1857" customFormat="1" ht="12" customHeight="1">
      <c r="B569" s="1857" t="s">
        <v>2539</v>
      </c>
      <c r="G569" s="1872">
        <f>'Part IV-A-Uses of Funds'!G66</f>
        <v>0</v>
      </c>
      <c r="H569" s="1872"/>
      <c r="J569" s="1872">
        <f>'Part IV-A-Uses of Funds'!J66</f>
        <v>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6688</v>
      </c>
      <c r="BA569" s="1858">
        <v>66</v>
      </c>
    </row>
    <row r="570" spans="1:53" s="1857" customFormat="1" ht="12" customHeight="1">
      <c r="B570" s="1857" t="s">
        <v>693</v>
      </c>
      <c r="G570" s="1872">
        <f>'Part IV-A-Uses of Funds'!G67</f>
        <v>16000</v>
      </c>
      <c r="H570" s="1872"/>
      <c r="J570" s="1872">
        <f>'Part IV-A-Uses of Funds'!J67</f>
        <v>16000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6689</v>
      </c>
      <c r="BA570" s="1858">
        <v>67</v>
      </c>
    </row>
    <row r="571" spans="1:53" s="1857" customFormat="1" ht="12" customHeight="1">
      <c r="B571" s="1857" t="s">
        <v>2245</v>
      </c>
      <c r="G571" s="1872">
        <f>'Part IV-A-Uses of Funds'!G68</f>
        <v>15000</v>
      </c>
      <c r="H571" s="1872"/>
      <c r="J571" s="1872">
        <f>'Part IV-A-Uses of Funds'!J68</f>
        <v>15000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30000</v>
      </c>
      <c r="H572" s="1872"/>
      <c r="J572" s="1872">
        <f>'Part IV-A-Uses of Funds'!J69</f>
        <v>30000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6581</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6582</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458896</v>
      </c>
      <c r="H576" s="2003"/>
      <c r="J576" s="2003">
        <f>SUM(J564:J575)</f>
        <v>458896</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125000</v>
      </c>
      <c r="H578" s="1872"/>
      <c r="J578" s="1872">
        <f>'Part IV-A-Uses of Funds'!J75</f>
        <v>125000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25000</v>
      </c>
      <c r="H579" s="1872"/>
      <c r="J579" s="1872">
        <f>'Part IV-A-Uses of Funds'!J76</f>
        <v>25000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35000</v>
      </c>
      <c r="H580" s="1872"/>
      <c r="J580" s="1872">
        <f>'Part IV-A-Uses of Funds'!J77</f>
        <v>35000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0</v>
      </c>
      <c r="H581" s="1872"/>
      <c r="J581" s="1872">
        <f>'Part IV-A-Uses of Funds'!J78</f>
        <v>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25000</v>
      </c>
      <c r="H582" s="1872"/>
      <c r="J582" s="1872">
        <f>'Part IV-A-Uses of Funds'!J79</f>
        <v>25000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6690</v>
      </c>
      <c r="BA582" s="1858">
        <v>79</v>
      </c>
    </row>
    <row r="583" spans="1:53" s="1857" customFormat="1" ht="12" customHeight="1">
      <c r="B583" s="1857" t="s">
        <v>1089</v>
      </c>
      <c r="G583" s="1872">
        <f>'Part IV-A-Uses of Funds'!G80</f>
        <v>37500</v>
      </c>
      <c r="H583" s="1872"/>
      <c r="J583" s="1872">
        <f>'Part IV-A-Uses of Funds'!J80</f>
        <v>37500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6691</v>
      </c>
      <c r="BA583" s="1858">
        <v>80</v>
      </c>
    </row>
    <row r="584" spans="1:53" s="1857" customFormat="1" ht="12" customHeight="1">
      <c r="B584" s="1857" t="s">
        <v>459</v>
      </c>
      <c r="G584" s="1872">
        <f>'Part IV-A-Uses of Funds'!G81</f>
        <v>85000</v>
      </c>
      <c r="H584" s="1872"/>
      <c r="J584" s="1872">
        <f>'Part IV-A-Uses of Funds'!J81</f>
        <v>85000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35000</v>
      </c>
      <c r="H585" s="1872"/>
      <c r="J585" s="1872">
        <f>'Part IV-A-Uses of Funds'!J82</f>
        <v>25000</v>
      </c>
      <c r="K585" s="1872"/>
      <c r="L585" s="1890"/>
      <c r="M585" s="1872">
        <f>'Part IV-A-Uses of Funds'!M82</f>
        <v>0</v>
      </c>
      <c r="N585" s="1872"/>
      <c r="P585" s="1872">
        <f>'Part IV-A-Uses of Funds'!P82</f>
        <v>0</v>
      </c>
      <c r="Q585" s="1872"/>
      <c r="S585" s="1872">
        <f>'Part IV-A-Uses of Funds'!S82</f>
        <v>10000</v>
      </c>
      <c r="T585" s="1872"/>
      <c r="V585" s="2005"/>
      <c r="W585" s="2006"/>
      <c r="X585" s="2006"/>
      <c r="AZ585" s="1938"/>
      <c r="BA585" s="1858">
        <v>82</v>
      </c>
    </row>
    <row r="586" spans="1:53" s="1857" customFormat="1" ht="12" customHeight="1">
      <c r="B586" s="1857" t="s">
        <v>1957</v>
      </c>
      <c r="G586" s="1872">
        <f>'Part IV-A-Uses of Funds'!G83</f>
        <v>15000</v>
      </c>
      <c r="H586" s="1872"/>
      <c r="J586" s="1872">
        <f>'Part IV-A-Uses of Funds'!J83</f>
        <v>15000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10000</v>
      </c>
      <c r="H587" s="1872"/>
      <c r="J587" s="1872">
        <f>'Part IV-A-Uses of Funds'!J84</f>
        <v>10000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6583</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392500</v>
      </c>
      <c r="H589" s="2003"/>
      <c r="J589" s="2003">
        <f>SUM(J578:J588)</f>
        <v>382500</v>
      </c>
      <c r="K589" s="2003"/>
      <c r="L589" s="1890"/>
      <c r="M589" s="2003">
        <f>SUM(M578:M588)</f>
        <v>0</v>
      </c>
      <c r="N589" s="2003"/>
      <c r="P589" s="2003">
        <f>SUM(P578:P588)</f>
        <v>0</v>
      </c>
      <c r="Q589" s="2003"/>
      <c r="S589" s="2003">
        <f>SUM(S578:S588)</f>
        <v>10000</v>
      </c>
      <c r="T589" s="2003"/>
      <c r="V589" s="2005">
        <f>SUM(V578:V588)</f>
        <v>0</v>
      </c>
      <c r="W589" s="2006"/>
      <c r="X589" s="2006"/>
      <c r="AZ589" s="1938" t="s">
        <v>6692</v>
      </c>
      <c r="BA589" s="1858">
        <v>86</v>
      </c>
    </row>
    <row r="590" spans="1:53" s="1866" customFormat="1" ht="12" customHeight="1">
      <c r="A590" s="1857"/>
      <c r="B590" s="1857" t="s">
        <v>1221</v>
      </c>
      <c r="C590" s="1857"/>
      <c r="D590" s="2036" t="s">
        <v>3361</v>
      </c>
      <c r="E590" s="2037">
        <f>G595/'Part VI-Revenues &amp; Expenses'!$P$67</f>
        <v>1218.08</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28904</v>
      </c>
      <c r="H591" s="1872"/>
      <c r="J591" s="1872">
        <f>'Part IV-A-Uses of Funds'!J88</f>
        <v>28904</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25000</v>
      </c>
      <c r="H593" s="1872"/>
      <c r="I593" s="1866"/>
      <c r="J593" s="1872">
        <f>'Part IV-A-Uses of Funds'!J90</f>
        <v>25000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7000</v>
      </c>
      <c r="H594" s="1872"/>
      <c r="I594" s="1866"/>
      <c r="J594" s="1872">
        <f>'Part IV-A-Uses of Funds'!J91</f>
        <v>7000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60904</v>
      </c>
      <c r="H595" s="2003"/>
      <c r="J595" s="2003">
        <f>SUM(J591:J594)</f>
        <v>60904</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7097</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6693</v>
      </c>
      <c r="BA599" s="1869">
        <v>93</v>
      </c>
    </row>
    <row r="600" spans="1:53" s="1857" customFormat="1" ht="12" customHeight="1">
      <c r="B600" s="1857" t="s">
        <v>1226</v>
      </c>
      <c r="G600" s="1872">
        <f>'Part IV-A-Uses of Funds'!G97</f>
        <v>0</v>
      </c>
      <c r="H600" s="1872"/>
      <c r="J600" s="2003"/>
      <c r="K600" s="2003"/>
      <c r="L600" s="1890"/>
      <c r="M600" s="2003"/>
      <c r="N600" s="2003"/>
      <c r="P600" s="2003"/>
      <c r="Q600" s="2003"/>
      <c r="S600" s="1872">
        <f>'Part IV-A-Uses of Funds'!S97</f>
        <v>0</v>
      </c>
      <c r="T600" s="1872"/>
      <c r="V600" s="2005"/>
      <c r="W600" s="2006"/>
      <c r="X600" s="2006"/>
      <c r="AZ600" s="1938" t="s">
        <v>6694</v>
      </c>
      <c r="BA600" s="1858">
        <v>94</v>
      </c>
    </row>
    <row r="601" spans="1:53" s="1857" customFormat="1" ht="12" customHeight="1">
      <c r="B601" s="1857" t="s">
        <v>1227</v>
      </c>
      <c r="G601" s="1872">
        <f>'Part IV-A-Uses of Funds'!G98</f>
        <v>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6584</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6695</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6696</v>
      </c>
      <c r="BA610" s="1858">
        <v>107</v>
      </c>
    </row>
    <row r="611" spans="1:53" s="1857" customFormat="1" ht="12.6" customHeight="1">
      <c r="B611" s="1857" t="s">
        <v>494</v>
      </c>
      <c r="E611" s="2040">
        <f>ROUNDUP('DCA Underwriting Assumptions'!$Q$93*J700,0)</f>
        <v>79912</v>
      </c>
      <c r="F611" s="2040"/>
      <c r="G611" s="1872">
        <f>'Part IV-A-Uses of Funds'!G108</f>
        <v>79912</v>
      </c>
      <c r="H611" s="1872"/>
      <c r="J611" s="2041" t="str">
        <f>IF(E611&gt;G611,"WARNING!  LIHTC Allocation Fee proposed is below minimum required.","")</f>
        <v/>
      </c>
      <c r="K611" s="1890"/>
      <c r="L611" s="1890"/>
      <c r="M611" s="1890"/>
      <c r="N611" s="1890"/>
      <c r="P611" s="1890"/>
      <c r="Q611" s="1890"/>
      <c r="S611" s="1872">
        <f>'Part IV-A-Uses of Funds'!S108</f>
        <v>79912</v>
      </c>
      <c r="T611" s="1872"/>
      <c r="V611" s="2005"/>
      <c r="W611" s="2006"/>
      <c r="X611" s="2006"/>
      <c r="AZ611" s="1938" t="s">
        <v>6697</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50000</v>
      </c>
      <c r="F612" s="2040"/>
      <c r="G612" s="1872">
        <f>'Part IV-A-Uses of Funds'!G109</f>
        <v>50000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50000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6580</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6580</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6698</v>
      </c>
      <c r="BA616" s="1858">
        <v>113</v>
      </c>
    </row>
    <row r="617" spans="1:53" s="1857" customFormat="1" ht="12.6" customHeight="1">
      <c r="F617" s="2008" t="s">
        <v>183</v>
      </c>
      <c r="G617" s="2003">
        <f>SUM(G608:G616)</f>
        <v>140412</v>
      </c>
      <c r="H617" s="2003"/>
      <c r="J617" s="1890"/>
      <c r="K617" s="1890"/>
      <c r="L617" s="1890"/>
      <c r="M617" s="1890"/>
      <c r="N617" s="1890"/>
      <c r="P617" s="1890"/>
      <c r="Q617" s="1890"/>
      <c r="S617" s="2003">
        <f>SUM(S608:S616)</f>
        <v>140412</v>
      </c>
      <c r="T617" s="2003"/>
      <c r="V617" s="2005">
        <f>SUM(V608:V616)</f>
        <v>0</v>
      </c>
      <c r="W617" s="2044"/>
      <c r="X617" s="2044"/>
      <c r="AZ617" s="1938" t="s">
        <v>6699</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2500</v>
      </c>
      <c r="H619" s="1872"/>
      <c r="J619" s="2003"/>
      <c r="K619" s="2003"/>
      <c r="L619" s="1890"/>
      <c r="M619" s="2003"/>
      <c r="N619" s="2003"/>
      <c r="P619" s="2003"/>
      <c r="Q619" s="2003"/>
      <c r="S619" s="1872">
        <f>'Part IV-A-Uses of Funds'!S116</f>
        <v>2500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6580</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2500</v>
      </c>
      <c r="H623" s="2003"/>
      <c r="J623" s="2003"/>
      <c r="K623" s="2003"/>
      <c r="L623" s="1890"/>
      <c r="M623" s="2003"/>
      <c r="N623" s="2003"/>
      <c r="P623" s="2003"/>
      <c r="Q623" s="2003"/>
      <c r="S623" s="2003">
        <f>SUM(S619:S622)</f>
        <v>2500</v>
      </c>
      <c r="T623" s="2003"/>
      <c r="V623" s="2005">
        <f>SUM(V619:V622)</f>
        <v>0</v>
      </c>
      <c r="W623" s="2006"/>
      <c r="X623" s="2006"/>
      <c r="AC623" s="1951" t="s">
        <v>4112</v>
      </c>
      <c r="AD623" s="1951" t="s">
        <v>4113</v>
      </c>
      <c r="AE623" s="1951" t="s">
        <v>4118</v>
      </c>
      <c r="AF623" s="1865" t="s">
        <v>4114</v>
      </c>
      <c r="AZ623" s="1925"/>
      <c r="BA623" s="1858">
        <v>120</v>
      </c>
    </row>
    <row r="624" spans="1:53" s="1857" customFormat="1" ht="13.35" customHeight="1">
      <c r="B624" s="1857" t="s">
        <v>270</v>
      </c>
      <c r="D624" s="1990" t="s">
        <v>4115</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4103</v>
      </c>
      <c r="Z624" s="1968"/>
      <c r="AA624" s="2045" t="s">
        <v>4109</v>
      </c>
      <c r="AB624" s="2045" t="s">
        <v>4110</v>
      </c>
      <c r="AC624" s="1951"/>
      <c r="AD624" s="1951"/>
      <c r="AE624" s="1951"/>
      <c r="AF624" s="1865"/>
      <c r="AI624" s="1925"/>
      <c r="AK624" s="2046"/>
      <c r="AZ624" s="1925" t="s">
        <v>6700</v>
      </c>
      <c r="BA624" s="1869">
        <v>121</v>
      </c>
    </row>
    <row r="625" spans="1:53" s="1857" customFormat="1" ht="12.6" customHeight="1">
      <c r="B625" s="1857" t="s">
        <v>1774</v>
      </c>
      <c r="F625" s="1985">
        <f>IF($G$127=0,0,G625/$G$127)</f>
        <v>0</v>
      </c>
      <c r="G625" s="1872">
        <f>'Part IV-A-Uses of Funds'!G122</f>
        <v>240000</v>
      </c>
      <c r="H625" s="1872"/>
      <c r="J625" s="1872">
        <f>'Part IV-A-Uses of Funds'!J122</f>
        <v>240000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3564</v>
      </c>
      <c r="F626" s="2051">
        <f>'Part IV-A-Uses of Funds'!F123</f>
        <v>240000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70000</v>
      </c>
      <c r="H627" s="1872"/>
      <c r="J627" s="1872">
        <f>'Part IV-A-Uses of Funds'!J124</f>
        <v>70000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3285</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890000</v>
      </c>
      <c r="H629" s="1872"/>
      <c r="J629" s="1872">
        <f>'Part IV-A-Uses of Funds'!J126</f>
        <v>890000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4111</v>
      </c>
      <c r="E630" s="2055" t="str">
        <f>IF(E624="9%",AF625,IF(E624="4%",AF628,"Enter app type!"))</f>
        <v>Enter app type!</v>
      </c>
      <c r="F630" s="2008" t="s">
        <v>183</v>
      </c>
      <c r="G630" s="2003">
        <f>SUM(G625:G629)</f>
        <v>1200000</v>
      </c>
      <c r="H630" s="2003"/>
      <c r="J630" s="2003">
        <f>SUM(J625:J629)</f>
        <v>1200000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6701</v>
      </c>
      <c r="BA631" s="1858">
        <v>128</v>
      </c>
    </row>
    <row r="632" spans="1:53" s="1857" customFormat="1" ht="12.6" customHeight="1">
      <c r="B632" s="1857" t="s">
        <v>240</v>
      </c>
      <c r="G632" s="1872">
        <f>'Part IV-A-Uses of Funds'!G129</f>
        <v>30000</v>
      </c>
      <c r="H632" s="1872"/>
      <c r="J632" s="2039"/>
      <c r="K632" s="2039"/>
      <c r="L632" s="2039"/>
      <c r="M632" s="2039"/>
      <c r="N632" s="2039"/>
      <c r="P632" s="2039"/>
      <c r="Q632" s="2039"/>
      <c r="S632" s="1872">
        <f>'Part IV-A-Uses of Funds'!S129</f>
        <v>30000</v>
      </c>
      <c r="T632" s="1872"/>
      <c r="V632" s="2005"/>
      <c r="W632" s="2006"/>
      <c r="X632" s="2006"/>
      <c r="Y632" s="1951" t="s">
        <v>4105</v>
      </c>
      <c r="Z632" s="2056"/>
      <c r="AB632" s="2046"/>
      <c r="AC632" s="1925"/>
      <c r="AD632" s="1925"/>
      <c r="AF632" s="1925"/>
      <c r="AG632" s="1925"/>
      <c r="AH632" s="1925"/>
      <c r="AI632" s="1925"/>
      <c r="AJ632" s="1925"/>
      <c r="AK632" s="1925"/>
      <c r="AZ632" s="1938" t="s">
        <v>6702</v>
      </c>
      <c r="BA632" s="1858">
        <v>129</v>
      </c>
    </row>
    <row r="633" spans="1:53" s="1857" customFormat="1" ht="12.6" customHeight="1">
      <c r="B633" s="1857" t="s">
        <v>1474</v>
      </c>
      <c r="F633" s="2011">
        <f>+'Part VI-Revenues &amp; Expenses'!$Q$225*('DCA Underwriting Assumptions'!$Q$127/12)</f>
        <v>62372</v>
      </c>
      <c r="G633" s="1872">
        <f>'Part IV-A-Uses of Funds'!G130</f>
        <v>62372</v>
      </c>
      <c r="H633" s="1872"/>
      <c r="J633" s="2057" t="str">
        <f>IF(E633&gt;G633,"WARNING! Rent-Up Reserves proposed is below minimum - add comment.","")</f>
        <v/>
      </c>
      <c r="K633" s="2057"/>
      <c r="L633" s="1890"/>
      <c r="M633" s="2003"/>
      <c r="N633" s="2003"/>
      <c r="P633" s="2003"/>
      <c r="Q633" s="2003"/>
      <c r="S633" s="1872">
        <f>'Part IV-A-Uses of Funds'!S130</f>
        <v>62372</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124744</v>
      </c>
      <c r="G634" s="1872">
        <f>'Part IV-A-Uses of Funds'!G131</f>
        <v>124744</v>
      </c>
      <c r="H634" s="1872"/>
      <c r="J634" s="2057" t="str">
        <f>IF(E634&gt;G634,"WARNING! ODR proposed is below minimum - add comment.","")</f>
        <v/>
      </c>
      <c r="K634" s="2039"/>
      <c r="L634" s="2039"/>
      <c r="M634" s="2039"/>
      <c r="N634" s="2039"/>
      <c r="P634" s="2039"/>
      <c r="Q634" s="2039"/>
      <c r="S634" s="1872">
        <f>'Part IV-A-Uses of Funds'!S131</f>
        <v>124744</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6703</v>
      </c>
      <c r="BA635" s="1858">
        <v>132</v>
      </c>
    </row>
    <row r="636" spans="1:53" s="1857" customFormat="1" ht="12.6" customHeight="1">
      <c r="B636" s="1857" t="s">
        <v>1199</v>
      </c>
      <c r="E636" s="2010" t="s">
        <v>3259</v>
      </c>
      <c r="F636" s="2011">
        <f>IF('Part VI-Revenues &amp; Expenses'!$P$67=0,0,G636/'Part VI-Revenues &amp; Expenses'!$P$67)</f>
        <v>1300</v>
      </c>
      <c r="G636" s="1872">
        <f>'Part IV-A-Uses of Funds'!G133</f>
        <v>65000</v>
      </c>
      <c r="H636" s="1872"/>
      <c r="J636" s="1872">
        <f>'Part IV-A-Uses of Funds'!J133</f>
        <v>65000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6704</v>
      </c>
      <c r="BA636" s="1858">
        <v>133</v>
      </c>
    </row>
    <row r="637" spans="1:53" s="1857" customFormat="1" ht="12.6" customHeight="1">
      <c r="A637" s="2007" t="str">
        <f>IF(AND(G637&gt;0,OR(C637="",C637="&lt;Enter detailed description here; use Comments section if needed&gt;")),"X","")</f>
        <v/>
      </c>
      <c r="B637" s="1865" t="s">
        <v>6580</v>
      </c>
      <c r="C637" s="1870" t="str">
        <f>'Part IV-A-Uses of Funds'!C134</f>
        <v>Community Improvement Fund</v>
      </c>
      <c r="D637" s="1870"/>
      <c r="E637" s="1870"/>
      <c r="F637" s="1870"/>
      <c r="G637" s="1872">
        <f>'Part IV-A-Uses of Funds'!G134</f>
        <v>50000</v>
      </c>
      <c r="H637" s="1872"/>
      <c r="J637" s="1872">
        <f>'Part IV-A-Uses of Funds'!J134</f>
        <v>0</v>
      </c>
      <c r="K637" s="1872"/>
      <c r="L637" s="1890"/>
      <c r="M637" s="1872">
        <f>'Part IV-A-Uses of Funds'!M134</f>
        <v>0</v>
      </c>
      <c r="N637" s="1872"/>
      <c r="P637" s="1872">
        <f>'Part IV-A-Uses of Funds'!P134</f>
        <v>0</v>
      </c>
      <c r="Q637" s="1872"/>
      <c r="S637" s="1872">
        <f>'Part IV-A-Uses of Funds'!S134</f>
        <v>50000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332116</v>
      </c>
      <c r="H638" s="2003"/>
      <c r="J638" s="2003">
        <f>SUM(J636:J637)</f>
        <v>65000</v>
      </c>
      <c r="K638" s="2003"/>
      <c r="L638" s="1890"/>
      <c r="M638" s="2003">
        <f>SUM(M636:M637)</f>
        <v>0</v>
      </c>
      <c r="N638" s="2003"/>
      <c r="P638" s="2003">
        <f>SUM(P636:P637)</f>
        <v>0</v>
      </c>
      <c r="Q638" s="2003"/>
      <c r="S638" s="2003">
        <f>SUM(S632:S637)</f>
        <v>267116</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7097</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6580</v>
      </c>
      <c r="C646" s="1870">
        <f>'Part IV-A-Uses of Funds'!C143</f>
        <v>0</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7098</v>
      </c>
      <c r="E649" s="2010"/>
      <c r="F649" s="2063"/>
      <c r="G649" s="2003">
        <f>G521+G527+G531+G539+G544+G549+G558+G576+G589+G595+G606+G617+G623+G630+G638+G647</f>
        <v>12387336</v>
      </c>
      <c r="H649" s="2003"/>
      <c r="J649" s="2003">
        <f>J521+J527+J531+J539+J544+J549+J558+J576+J589+J595+J606+J617+J623+J630+J638+J647</f>
        <v>10532150</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1855186</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7027</v>
      </c>
      <c r="C651" s="2022"/>
      <c r="D651" s="2064">
        <f>IF('Part VI-Revenues &amp; Expenses'!$P$67=0,0,G649/'Part VI-Revenues &amp; Expenses'!$P$67)</f>
        <v>247746.72</v>
      </c>
      <c r="E651" s="2064"/>
      <c r="F651" s="2058" t="s">
        <v>2593</v>
      </c>
      <c r="G651" s="2064">
        <f>IF('Part I-Project Information'!$P$70=0,0,G649/'Part I-Project Information'!$P$70)</f>
        <v>220.70977282850779</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3343</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10532150</v>
      </c>
      <c r="K665" s="1983"/>
      <c r="M665" s="1983">
        <f>M649</f>
        <v>0</v>
      </c>
      <c r="N665" s="1983"/>
      <c r="P665" s="1983">
        <f>P649</f>
        <v>0</v>
      </c>
      <c r="Q665" s="1983"/>
      <c r="R665" s="2068" t="s">
        <v>3931</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10532150</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13691795</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1953</v>
      </c>
      <c r="J671" s="1983">
        <f>J669*J670</f>
        <v>13691795</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1232261.55</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1232261</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4126</v>
      </c>
      <c r="H678" s="2074"/>
      <c r="I678" s="2074"/>
      <c r="M678" s="2075"/>
      <c r="O678" s="1869"/>
      <c r="P678" s="1869"/>
      <c r="Q678" s="1869"/>
      <c r="R678" s="1869"/>
      <c r="S678" s="1869"/>
      <c r="T678" s="1869"/>
      <c r="U678" s="1869"/>
      <c r="V678" s="1869"/>
    </row>
    <row r="679" spans="1:52" s="1938" customFormat="1" ht="15" customHeight="1">
      <c r="B679" s="1938" t="s">
        <v>7099</v>
      </c>
      <c r="J679" s="2076">
        <f>G649</f>
        <v>12387336</v>
      </c>
      <c r="K679" s="2076"/>
      <c r="L679" s="2076"/>
      <c r="V679" s="2077"/>
      <c r="W679" s="2078"/>
    </row>
    <row r="680" spans="1:52" s="1938" customFormat="1" ht="13.5" customHeight="1">
      <c r="B680" s="1938" t="s">
        <v>4130</v>
      </c>
      <c r="J680" s="2076">
        <f>'Part IV-A-Uses of Funds'!$G$92+'Part IV-A-Uses of Funds'!$G$114+SUM('Part IV-A-Uses of Funds'!$G$130:$H$132)</f>
        <v>388432</v>
      </c>
      <c r="K680" s="2076"/>
      <c r="L680" s="2076"/>
      <c r="V680" s="2077"/>
      <c r="W680" s="2078"/>
    </row>
    <row r="681" spans="1:52" s="1938" customFormat="1" ht="13.5" customHeight="1">
      <c r="B681" s="1936" t="s">
        <v>4129</v>
      </c>
      <c r="J681" s="2076">
        <f>J679-J680</f>
        <v>11998904</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12000192.5</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4131</v>
      </c>
      <c r="J685" s="1895">
        <f>'Part IV-A-Uses of Funds'!J182</f>
        <v>12387336</v>
      </c>
      <c r="K685" s="1895"/>
      <c r="L685" s="1895"/>
      <c r="M685" s="2068" t="s">
        <v>4142</v>
      </c>
      <c r="N685" s="2068"/>
      <c r="O685" s="2068"/>
      <c r="P685" s="2068"/>
      <c r="Q685" s="2068"/>
      <c r="R685" s="2068"/>
      <c r="S685" s="2068" t="s">
        <v>3314</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110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12387226</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1238722.6000000001</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7028</v>
      </c>
      <c r="J691" s="2083">
        <f>N691+Q691</f>
        <v>1.24</v>
      </c>
      <c r="K691" s="2083"/>
      <c r="L691" s="2083"/>
      <c r="M691" s="1858" t="s">
        <v>1241</v>
      </c>
      <c r="N691" s="2084">
        <f>'Part IV-A-Uses of Funds'!N188</f>
        <v>0.85</v>
      </c>
      <c r="O691" s="2084"/>
      <c r="P691" s="1858" t="s">
        <v>583</v>
      </c>
      <c r="Q691" s="2084">
        <f>'Part IV-A-Uses of Funds'!Q188</f>
        <v>0.39</v>
      </c>
      <c r="R691" s="2084"/>
      <c r="V691" s="2005"/>
      <c r="W691" s="2006"/>
      <c r="X691" s="2006"/>
      <c r="AZ691" s="1938"/>
    </row>
    <row r="692" spans="1:52" s="1857" customFormat="1" ht="14.1" customHeight="1">
      <c r="B692" s="1857" t="s">
        <v>1374</v>
      </c>
      <c r="J692" s="1983">
        <f>ROUNDDOWN(IF(J691=0,"",J689/J691),0)</f>
        <v>998969</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4127</v>
      </c>
      <c r="H694" s="2060"/>
      <c r="I694" s="2060"/>
      <c r="M694" s="2073"/>
      <c r="Q694" s="1865" t="s">
        <v>6539</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7100</v>
      </c>
      <c r="J696" s="1895">
        <f>'Part IV-A-Uses of Funds'!J193</f>
        <v>998969</v>
      </c>
      <c r="K696" s="1895"/>
      <c r="L696" s="1895"/>
      <c r="M696" s="1866"/>
      <c r="Q696" s="1968" t="s">
        <v>367</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7029</v>
      </c>
      <c r="J698" s="1895">
        <f>'Part IV-A-Uses of Funds'!J195</f>
        <v>998900</v>
      </c>
      <c r="K698" s="1895"/>
      <c r="L698" s="1895"/>
      <c r="M698" s="1908" t="str">
        <f>IF(J696=0,"",IF(J698&gt;J696,"Request can't exceed Maximum - REVISE (Try Round Down)!",""))</f>
        <v/>
      </c>
      <c r="N698" s="1908"/>
      <c r="O698" s="1908"/>
      <c r="P698" s="1908"/>
      <c r="Q698" s="1968" t="s">
        <v>4115</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7101</v>
      </c>
      <c r="D700" s="1866"/>
      <c r="E700" s="1866"/>
      <c r="F700" s="1859"/>
      <c r="J700" s="1983">
        <f>IF(J698="",0,+MIN(J696,J698))</f>
        <v>998900</v>
      </c>
      <c r="K700" s="1983"/>
      <c r="L700" s="1983"/>
      <c r="M700" s="1908"/>
      <c r="N700" s="1908"/>
      <c r="O700" s="1908"/>
      <c r="P700" s="1908"/>
      <c r="Q700" s="1865" t="s">
        <v>6540</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Construction Hard Costs were provided through Opinions of Probable Costs that were provided by the civil engineer and general contractor. Please see Tab 1 for documentation regarding the local government fees.</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2021-050 - Sparrow Pointe  -  Rome  -  Floyd,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3345</v>
      </c>
      <c r="B710" s="2090"/>
      <c r="C710" s="2090"/>
      <c r="D710" s="2090"/>
      <c r="E710" s="2090"/>
      <c r="F710" s="2090"/>
      <c r="G710" s="2090"/>
      <c r="H710" s="2090"/>
    </row>
    <row r="711" spans="1:14" s="2089" customFormat="1" ht="6" customHeight="1"/>
    <row r="712" spans="1:14" s="2089" customFormat="1" ht="38.25" customHeight="1">
      <c r="A712" s="2091" t="s">
        <v>7030</v>
      </c>
      <c r="B712" s="2091"/>
      <c r="C712" s="2091"/>
      <c r="D712" s="2091"/>
      <c r="F712" s="2092" t="s">
        <v>3336</v>
      </c>
      <c r="G712" s="2088"/>
      <c r="H712" s="2092" t="s">
        <v>3337</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3339</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3339</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3339</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3338</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3339</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3339</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3339</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3339</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3339</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7031</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3339</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3339</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7032</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3339</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Community Improvement Fund</v>
      </c>
      <c r="B778" s="2096"/>
      <c r="C778" s="2096"/>
      <c r="D778" s="2096"/>
      <c r="F778" s="2097" t="str">
        <f>'Part IV-B-Other Items'!F71</f>
        <v>The total Developer Fee includes the subtotal Developer Fee line item ($1,200,000) plus the Other Line Item labeled "Community Improvement Fund" ($50,000), which meets the Developer Fee limitations outlined in the QAP. Therefore, the applicant has reduced the Developer Fee by the $50,000 and has identified this line-item as an expenditure dedicated to Transformational plan Community Improvement Fund.</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3339</v>
      </c>
      <c r="B781" s="2099">
        <f>'Part IV-A-Uses of Funds'!$G$134</f>
        <v>50000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7033</v>
      </c>
      <c r="B783" s="2100"/>
      <c r="C783" s="2095"/>
      <c r="D783" s="2095"/>
      <c r="E783" s="2095"/>
      <c r="F783" s="2095"/>
      <c r="G783" s="2101"/>
    </row>
    <row r="784" spans="1:8" s="2094" customFormat="1" ht="41.25" customHeight="1">
      <c r="A784" s="2096">
        <f>'Part IV-A-Uses of Funds'!$C$143</f>
        <v>0</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3339</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2021-050 Sparrow Pointe,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3826</v>
      </c>
      <c r="I794" s="2106" t="str">
        <f>VLOOKUP('Part I-Project Information'!$J$40,'DCA Underwriting Assumptions'!$G$174:$H$333,2)</f>
        <v>North</v>
      </c>
    </row>
    <row r="795" spans="1:25" s="1853" customFormat="1" ht="6" customHeight="1"/>
    <row r="796" spans="1:25" s="1853" customFormat="1" ht="12.75" customHeight="1">
      <c r="A796" s="2107" t="s">
        <v>7102</v>
      </c>
      <c r="O796" s="1857" t="s">
        <v>7103</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GA DCA - Georgia North - High-Rise Apartment</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High-Rise Elevator</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9</v>
      </c>
      <c r="K803" s="2111">
        <f>'Part V-Utility Allowances'!K12</f>
        <v>11</v>
      </c>
      <c r="L803" s="2111">
        <f>'Part V-Utility Allowances'!L12</f>
        <v>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10</v>
      </c>
      <c r="L804" s="2111">
        <f>'Part V-Utility Allowances'!L13</f>
        <v>0</v>
      </c>
      <c r="M804" s="2111">
        <f>'Part V-Utility Allowances'!M13</f>
        <v>0</v>
      </c>
      <c r="O804" s="1818" t="s">
        <v>7034</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14</v>
      </c>
      <c r="K805" s="2111">
        <f>'Part V-Utility Allowances'!K14</f>
        <v>19</v>
      </c>
      <c r="L805" s="2111">
        <f>'Part V-Utility Allowances'!L14</f>
        <v>0</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7</v>
      </c>
      <c r="K806" s="2111">
        <f>'Part V-Utility Allowances'!K15</f>
        <v>9</v>
      </c>
      <c r="L806" s="2111">
        <f>'Part V-Utility Allowances'!L15</f>
        <v>0</v>
      </c>
      <c r="M806" s="2111">
        <f>'Part V-Utility Allowances'!M15</f>
        <v>0</v>
      </c>
      <c r="O806" s="1818"/>
      <c r="P806" s="1818"/>
      <c r="Q806" s="1818"/>
    </row>
    <row r="807" spans="1:25" s="1853" customFormat="1" ht="12" customHeight="1">
      <c r="B807" s="1818" t="s">
        <v>3405</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3406</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3407</v>
      </c>
      <c r="C809" s="1818"/>
      <c r="D809" s="1818" t="s">
        <v>1530</v>
      </c>
      <c r="F809" s="2110" t="str">
        <f>'Part V-Utility Allowances'!F18</f>
        <v>X</v>
      </c>
      <c r="G809" s="2110">
        <f>'Part V-Utility Allowances'!G18</f>
        <v>0</v>
      </c>
      <c r="I809" s="2111">
        <f>'Part V-Utility Allowances'!I18</f>
        <v>0</v>
      </c>
      <c r="J809" s="2111">
        <f>'Part V-Utility Allowances'!J18</f>
        <v>22</v>
      </c>
      <c r="K809" s="2111">
        <f>'Part V-Utility Allowances'!K18</f>
        <v>28</v>
      </c>
      <c r="L809" s="2111">
        <f>'Part V-Utility Allowances'!L18</f>
        <v>0</v>
      </c>
      <c r="M809" s="2111">
        <f>'Part V-Utility Allowances'!M18</f>
        <v>0</v>
      </c>
      <c r="O809" s="1818"/>
      <c r="P809" s="1818"/>
      <c r="Q809" s="1818"/>
    </row>
    <row r="810" spans="1:25" s="1853" customFormat="1" ht="12" customHeight="1">
      <c r="B810" s="1818" t="s">
        <v>1321</v>
      </c>
      <c r="C810" s="1818"/>
      <c r="D810" s="1818" t="s">
        <v>6845</v>
      </c>
      <c r="E810" s="2111" t="str">
        <f>'Part V-Utility Allowances'!E19</f>
        <v>Yes</v>
      </c>
      <c r="F810" s="2110" t="str">
        <f>'Part V-Utility Allowances'!F19</f>
        <v>X</v>
      </c>
      <c r="G810" s="2110">
        <f>'Part V-Utility Allowances'!G19</f>
        <v>0</v>
      </c>
      <c r="I810" s="2111">
        <f>'Part V-Utility Allowances'!I19</f>
        <v>0</v>
      </c>
      <c r="J810" s="2111">
        <f>'Part V-Utility Allowances'!J19</f>
        <v>45</v>
      </c>
      <c r="K810" s="2111">
        <f>'Part V-Utility Allowances'!K19</f>
        <v>52</v>
      </c>
      <c r="L810" s="2111">
        <f>'Part V-Utility Allowances'!L19</f>
        <v>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104</v>
      </c>
      <c r="K813" s="2109">
        <f>IF(SUM(K803:K812)=0,0,IF(OR($D803="&lt;&lt;Select Fuel &gt;&gt;",$D804="&lt;&lt;Select Fuel &gt;&gt;",$D805="&lt;&lt;Select Fuel &gt;&gt;"),"Select Fuel",IF($E810="&lt;Select&gt;","Submeter?",SUM(K803:K812))))</f>
        <v>129</v>
      </c>
      <c r="L813" s="2109">
        <f>IF(SUM(L803:L812)=0,0,IF(OR($D803="&lt;&lt;Select Fuel &gt;&gt;",$D804="&lt;&lt;Select Fuel &gt;&gt;",$D805="&lt;&lt;Select Fuel &gt;&gt;"),"Select Fuel",IF($E810="&lt;Select&gt;","Submeter?",SUM(L803:L812))))</f>
        <v>0</v>
      </c>
      <c r="M813" s="2109">
        <f>IF(SUM(M803:M812)=0,0,IF(OR($D803="&lt;&lt;Select Fuel &gt;&gt;",$D804="&lt;&lt;Select Fuel &gt;&gt;",$D805="&lt;&lt;Select Fuel &gt;&gt;"),"Select Fuel",IF($E810="&lt;Select&gt;","Submeter?",SUM(M803:M812))))</f>
        <v>0</v>
      </c>
    </row>
    <row r="814" spans="1:25" s="1853" customFormat="1" ht="7.5" customHeight="1">
      <c r="O814" s="1857" t="s">
        <v>7103</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7034</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3405</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3406</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3407</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6845</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6846</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The proposed development will be comprised of four (4) stories; therefore, the Applicant is using the Georgia North utility allowances for high-rise apartments units. The utility allowances were effective January 1, 2021.</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2021-050 Sparrow Pointe, ,  County</v>
      </c>
      <c r="T842" s="1818" t="str">
        <f>A842</f>
        <v>PART SIX - PROJECTED REVENUES &amp; EXPENSES  -  2021-050 Sparrow Pointe,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6307</v>
      </c>
      <c r="E844" s="1906"/>
      <c r="F844" s="1906"/>
      <c r="G844" s="1906"/>
      <c r="H844" s="1906"/>
      <c r="I844" s="1906"/>
      <c r="J844" s="1906"/>
      <c r="O844" s="2116" t="s">
        <v>547</v>
      </c>
      <c r="P844" s="2117" t="str">
        <f>'Part I-Project Information'!$O$41</f>
        <v>Rome</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7104</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3846</v>
      </c>
      <c r="AS845" s="2115" t="s">
        <v>3847</v>
      </c>
      <c r="AT845" s="2115" t="s">
        <v>3848</v>
      </c>
      <c r="AU845" s="2115" t="s">
        <v>3849</v>
      </c>
      <c r="AV845" s="2115" t="s">
        <v>3845</v>
      </c>
      <c r="AW845" s="2115" t="s">
        <v>887</v>
      </c>
      <c r="AX845" s="2115" t="s">
        <v>2210</v>
      </c>
      <c r="AY845" s="2115" t="s">
        <v>2211</v>
      </c>
      <c r="AZ845" s="2115" t="s">
        <v>2212</v>
      </c>
      <c r="BA845" s="2115" t="s">
        <v>2213</v>
      </c>
      <c r="BB845" s="2115" t="s">
        <v>3850</v>
      </c>
      <c r="BC845" s="2115" t="s">
        <v>3851</v>
      </c>
      <c r="BD845" s="2115" t="s">
        <v>3852</v>
      </c>
      <c r="BE845" s="2115" t="s">
        <v>3853</v>
      </c>
      <c r="BF845" s="2115" t="s">
        <v>3854</v>
      </c>
      <c r="BG845" s="2115" t="s">
        <v>122</v>
      </c>
      <c r="BH845" s="2115" t="s">
        <v>2214</v>
      </c>
      <c r="BI845" s="2115" t="s">
        <v>2215</v>
      </c>
      <c r="BJ845" s="2115" t="s">
        <v>2216</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2319</v>
      </c>
      <c r="EE845" s="2115" t="s">
        <v>2320</v>
      </c>
      <c r="EF845" s="2115" t="s">
        <v>2321</v>
      </c>
      <c r="EG845" s="2115" t="s">
        <v>2322</v>
      </c>
      <c r="EH845" s="2115" t="s">
        <v>2323</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7105</v>
      </c>
      <c r="D846" s="1906"/>
      <c r="E846" s="1906"/>
      <c r="F846" s="1906"/>
      <c r="G846" s="2111" t="str">
        <f>'Part VI-Revenues &amp; Expenses'!G6</f>
        <v>&lt;Select&gt;</v>
      </c>
      <c r="H846" s="2120" t="s">
        <v>6310</v>
      </c>
      <c r="I846" s="2120"/>
      <c r="J846" s="2120"/>
      <c r="K846" s="2118" t="s">
        <v>3257</v>
      </c>
      <c r="L846" s="2121" t="str">
        <f>'Part I-Project Information'!$B$7</f>
        <v>2021 Core Application</v>
      </c>
      <c r="M846" s="2121"/>
      <c r="N846" s="2121"/>
      <c r="O846" s="2122" t="s">
        <v>7035</v>
      </c>
      <c r="P846" s="2123">
        <f>'Part VI-Revenues &amp; Expenses'!P6</f>
        <v>58700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6585</v>
      </c>
      <c r="MQ846" s="2115" t="s">
        <v>6586</v>
      </c>
      <c r="MR846" s="2115" t="s">
        <v>6587</v>
      </c>
      <c r="MS846" s="2115" t="s">
        <v>6588</v>
      </c>
      <c r="MT846" s="2115" t="s">
        <v>6589</v>
      </c>
      <c r="NP846" s="2114"/>
    </row>
    <row r="847" spans="1:380" s="1818" customFormat="1" ht="12.6" customHeight="1">
      <c r="A847" s="2119"/>
      <c r="B847" s="2124" t="s">
        <v>6309</v>
      </c>
      <c r="G847" s="2111" t="str">
        <f>'Part VI-Revenues &amp; Expenses'!G7</f>
        <v>No</v>
      </c>
      <c r="I847" s="1719" t="s">
        <v>4276</v>
      </c>
      <c r="J847" s="2118" t="s">
        <v>765</v>
      </c>
      <c r="K847" s="2118" t="s">
        <v>3307</v>
      </c>
      <c r="L847" s="2121"/>
      <c r="M847" s="2121"/>
      <c r="N847" s="2121"/>
      <c r="O847" s="2125" t="s">
        <v>6285</v>
      </c>
      <c r="P847" s="2126">
        <f>'Part VI-Revenues &amp; Expenses'!P7</f>
        <v>43922</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3308</v>
      </c>
      <c r="N848" s="2127" t="s">
        <v>6807</v>
      </c>
      <c r="O848" s="1943" t="str">
        <f>'Part VI-Revenues &amp; Expenses'!O8</f>
        <v>Novogradac &amp; Company LLP</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6305</v>
      </c>
      <c r="H849" s="1851" t="s">
        <v>3441</v>
      </c>
      <c r="I849" s="1719"/>
      <c r="J849" s="2128" t="s">
        <v>6296</v>
      </c>
      <c r="K849" s="2118" t="s">
        <v>7106</v>
      </c>
      <c r="L849" s="1719" t="s">
        <v>138</v>
      </c>
      <c r="M849" s="1719"/>
      <c r="N849" s="2118" t="s">
        <v>2262</v>
      </c>
      <c r="O849" s="2118" t="s">
        <v>6810</v>
      </c>
      <c r="P849" s="2115" t="s">
        <v>7107</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6590</v>
      </c>
      <c r="IZ849" s="2115" t="s">
        <v>6590</v>
      </c>
      <c r="JA849" s="2115" t="s">
        <v>6590</v>
      </c>
      <c r="JB849" s="2115" t="s">
        <v>6590</v>
      </c>
      <c r="JC849" s="2115" t="s">
        <v>6590</v>
      </c>
      <c r="JD849" s="2115" t="s">
        <v>6591</v>
      </c>
      <c r="JE849" s="2115" t="s">
        <v>6591</v>
      </c>
      <c r="JF849" s="2115" t="s">
        <v>6591</v>
      </c>
      <c r="JG849" s="2115" t="s">
        <v>6591</v>
      </c>
      <c r="JH849" s="2115" t="s">
        <v>6591</v>
      </c>
      <c r="JI849" s="2115" t="s">
        <v>6593</v>
      </c>
      <c r="JJ849" s="2115" t="s">
        <v>6593</v>
      </c>
      <c r="JK849" s="2115" t="s">
        <v>6593</v>
      </c>
      <c r="JL849" s="2115" t="s">
        <v>6593</v>
      </c>
      <c r="JM849" s="2115" t="s">
        <v>6593</v>
      </c>
      <c r="JN849" s="2115" t="s">
        <v>6594</v>
      </c>
      <c r="JO849" s="2115" t="s">
        <v>6594</v>
      </c>
      <c r="JP849" s="2115" t="s">
        <v>6594</v>
      </c>
      <c r="JQ849" s="2115" t="s">
        <v>6594</v>
      </c>
      <c r="JR849" s="2115" t="s">
        <v>6594</v>
      </c>
      <c r="JS849" s="2115" t="s">
        <v>6595</v>
      </c>
      <c r="JT849" s="2115" t="s">
        <v>6595</v>
      </c>
      <c r="JU849" s="2115" t="s">
        <v>6595</v>
      </c>
      <c r="JV849" s="2115" t="s">
        <v>6595</v>
      </c>
      <c r="JW849" s="2115" t="s">
        <v>6595</v>
      </c>
      <c r="JX849" s="2115" t="s">
        <v>6811</v>
      </c>
      <c r="JY849" s="2115" t="s">
        <v>6811</v>
      </c>
      <c r="JZ849" s="2115" t="s">
        <v>6811</v>
      </c>
      <c r="KA849" s="2115" t="s">
        <v>6811</v>
      </c>
      <c r="KB849" s="2115" t="s">
        <v>6811</v>
      </c>
      <c r="KC849" s="2115" t="s">
        <v>7036</v>
      </c>
      <c r="KD849" s="2115" t="s">
        <v>7036</v>
      </c>
      <c r="KE849" s="2115" t="s">
        <v>7036</v>
      </c>
      <c r="KF849" s="2115" t="s">
        <v>7036</v>
      </c>
      <c r="KG849" s="2115" t="s">
        <v>7036</v>
      </c>
      <c r="KH849" s="2115" t="s">
        <v>7037</v>
      </c>
      <c r="KI849" s="2115" t="s">
        <v>7037</v>
      </c>
      <c r="KJ849" s="2115" t="s">
        <v>7037</v>
      </c>
      <c r="KK849" s="2115" t="s">
        <v>7037</v>
      </c>
      <c r="KL849" s="2115" t="s">
        <v>7037</v>
      </c>
      <c r="KM849" s="2115" t="s">
        <v>6597</v>
      </c>
      <c r="KN849" s="2115" t="s">
        <v>6597</v>
      </c>
      <c r="KO849" s="2115" t="s">
        <v>6597</v>
      </c>
      <c r="KP849" s="2115" t="s">
        <v>6597</v>
      </c>
      <c r="KQ849" s="2115" t="s">
        <v>6597</v>
      </c>
      <c r="KR849" s="2115" t="s">
        <v>6812</v>
      </c>
      <c r="KS849" s="2115" t="s">
        <v>6812</v>
      </c>
      <c r="KT849" s="2115" t="s">
        <v>6812</v>
      </c>
      <c r="KU849" s="2115" t="s">
        <v>6812</v>
      </c>
      <c r="KV849" s="2115" t="s">
        <v>6812</v>
      </c>
      <c r="KW849" s="2115" t="s">
        <v>7038</v>
      </c>
      <c r="KX849" s="2115" t="s">
        <v>7038</v>
      </c>
      <c r="KY849" s="2115" t="s">
        <v>7038</v>
      </c>
      <c r="KZ849" s="2115" t="s">
        <v>7038</v>
      </c>
      <c r="LA849" s="2115" t="s">
        <v>7038</v>
      </c>
      <c r="LB849" s="2115" t="s">
        <v>7039</v>
      </c>
      <c r="LC849" s="2115" t="s">
        <v>7039</v>
      </c>
      <c r="LD849" s="2115" t="s">
        <v>7039</v>
      </c>
      <c r="LE849" s="2115" t="s">
        <v>7039</v>
      </c>
      <c r="LF849" s="2115" t="s">
        <v>7039</v>
      </c>
      <c r="MK849" s="1719"/>
      <c r="ML849" s="1719"/>
      <c r="MM849" s="1719"/>
      <c r="MN849" s="1719"/>
      <c r="MO849" s="1719"/>
      <c r="NP849" s="1927"/>
    </row>
    <row r="850" spans="1:380" s="2115" customFormat="1" ht="11.25" customHeight="1">
      <c r="A850" s="2119"/>
      <c r="B850" s="2129" t="s">
        <v>4124</v>
      </c>
      <c r="C850" s="2118" t="s">
        <v>163</v>
      </c>
      <c r="D850" s="2118" t="s">
        <v>165</v>
      </c>
      <c r="E850" s="2118" t="s">
        <v>1418</v>
      </c>
      <c r="F850" s="2118" t="s">
        <v>1231</v>
      </c>
      <c r="G850" s="1719"/>
      <c r="H850" s="2118" t="s">
        <v>6306</v>
      </c>
      <c r="I850" s="1719"/>
      <c r="J850" s="2128"/>
      <c r="K850" s="2130" t="s">
        <v>338</v>
      </c>
      <c r="L850" s="2118" t="s">
        <v>1469</v>
      </c>
      <c r="M850" s="2118" t="s">
        <v>513</v>
      </c>
      <c r="N850" s="2118" t="s">
        <v>1417</v>
      </c>
      <c r="O850" s="2118" t="s">
        <v>6827</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6717</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6718</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6719</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6720</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6721</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6722</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6723</v>
      </c>
    </row>
    <row r="858" spans="1:380" s="1853" customFormat="1" ht="13.9" customHeight="1">
      <c r="A858" s="2109" t="str">
        <f t="shared" si="327"/>
        <v/>
      </c>
      <c r="B858" s="2131">
        <f>'Part VI-Revenues &amp; Expenses'!B18</f>
        <v>50</v>
      </c>
      <c r="C858" s="2132">
        <f>'Part VI-Revenues &amp; Expenses'!C18</f>
        <v>1</v>
      </c>
      <c r="D858" s="2133">
        <f>'Part VI-Revenues &amp; Expenses'!D18</f>
        <v>1</v>
      </c>
      <c r="E858" s="2134">
        <f>'Part VI-Revenues &amp; Expenses'!E18</f>
        <v>3</v>
      </c>
      <c r="F858" s="2134">
        <f>'Part VI-Revenues &amp; Expenses'!F18</f>
        <v>690</v>
      </c>
      <c r="G858" s="2134">
        <f>'Part VI-Revenues &amp; Expenses'!G18</f>
        <v>550</v>
      </c>
      <c r="H858" s="2134">
        <f>'Part VI-Revenues &amp; Expenses'!H18</f>
        <v>544</v>
      </c>
      <c r="I858" s="2134">
        <f>'Part VI-Revenues &amp; Expenses'!I18</f>
        <v>0</v>
      </c>
      <c r="J858" s="2134">
        <f>'Part VI-Revenues &amp; Expenses'!J18</f>
        <v>104</v>
      </c>
      <c r="K858" s="2135">
        <f>'Part VI-Revenues &amp; Expenses'!K18</f>
        <v>0</v>
      </c>
      <c r="L858" s="2136">
        <f t="shared" si="0"/>
        <v>440</v>
      </c>
      <c r="M858" s="2136">
        <f t="shared" si="1"/>
        <v>1320</v>
      </c>
      <c r="N858" s="1917" t="str">
        <f>'Part VI-Revenues &amp; Expenses'!N18</f>
        <v>No</v>
      </c>
      <c r="O858" s="2137" t="str">
        <f>'Part VI-Revenues &amp; Expenses'!O18</f>
        <v>High-Rise Elevator</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3</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2070</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3</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3</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f t="shared" si="283"/>
        <v>3</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3</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6724</v>
      </c>
    </row>
    <row r="859" spans="1:380" s="1853" customFormat="1" ht="13.9" customHeight="1">
      <c r="A859" s="2109" t="str">
        <f t="shared" si="327"/>
        <v/>
      </c>
      <c r="B859" s="2131">
        <f>'Part VI-Revenues &amp; Expenses'!B19</f>
        <v>60</v>
      </c>
      <c r="C859" s="2132">
        <f>'Part VI-Revenues &amp; Expenses'!C19</f>
        <v>1</v>
      </c>
      <c r="D859" s="2133">
        <f>'Part VI-Revenues &amp; Expenses'!D19</f>
        <v>1</v>
      </c>
      <c r="E859" s="2134">
        <f>'Part VI-Revenues &amp; Expenses'!E19</f>
        <v>6</v>
      </c>
      <c r="F859" s="2134">
        <f>'Part VI-Revenues &amp; Expenses'!F19</f>
        <v>690</v>
      </c>
      <c r="G859" s="2134">
        <f>'Part VI-Revenues &amp; Expenses'!G19</f>
        <v>660</v>
      </c>
      <c r="H859" s="2134">
        <f>'Part VI-Revenues &amp; Expenses'!H19</f>
        <v>649</v>
      </c>
      <c r="I859" s="2134">
        <f>'Part VI-Revenues &amp; Expenses'!I19</f>
        <v>0</v>
      </c>
      <c r="J859" s="2134">
        <f>'Part VI-Revenues &amp; Expenses'!J19</f>
        <v>104</v>
      </c>
      <c r="K859" s="2135">
        <f>'Part VI-Revenues &amp; Expenses'!K19</f>
        <v>0</v>
      </c>
      <c r="L859" s="2136">
        <f t="shared" si="0"/>
        <v>545</v>
      </c>
      <c r="M859" s="2136">
        <f t="shared" si="1"/>
        <v>3270</v>
      </c>
      <c r="N859" s="1917" t="str">
        <f>'Part VI-Revenues &amp; Expenses'!N19</f>
        <v>No</v>
      </c>
      <c r="O859" s="2137" t="str">
        <f>'Part VI-Revenues &amp; Expenses'!O19</f>
        <v>High-Rise Elevator</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6</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4140</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6</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6</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f t="shared" si="283"/>
        <v>6</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6</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6725</v>
      </c>
    </row>
    <row r="860" spans="1:380" s="1853" customFormat="1" ht="13.9" customHeight="1">
      <c r="A860" s="2109" t="str">
        <f t="shared" si="327"/>
        <v/>
      </c>
      <c r="B860" s="2131">
        <f>'Part VI-Revenues &amp; Expenses'!B20</f>
        <v>70</v>
      </c>
      <c r="C860" s="2132">
        <f>'Part VI-Revenues &amp; Expenses'!C20</f>
        <v>1</v>
      </c>
      <c r="D860" s="2133">
        <f>'Part VI-Revenues &amp; Expenses'!D20</f>
        <v>1</v>
      </c>
      <c r="E860" s="2134">
        <f>'Part VI-Revenues &amp; Expenses'!E20</f>
        <v>1</v>
      </c>
      <c r="F860" s="2134">
        <f>'Part VI-Revenues &amp; Expenses'!F20</f>
        <v>690</v>
      </c>
      <c r="G860" s="2134">
        <f>'Part VI-Revenues &amp; Expenses'!G20</f>
        <v>770</v>
      </c>
      <c r="H860" s="2134">
        <f>'Part VI-Revenues &amp; Expenses'!H20</f>
        <v>679</v>
      </c>
      <c r="I860" s="2134">
        <f>'Part VI-Revenues &amp; Expenses'!I20</f>
        <v>0</v>
      </c>
      <c r="J860" s="2134">
        <f>'Part VI-Revenues &amp; Expenses'!J20</f>
        <v>104</v>
      </c>
      <c r="K860" s="2135">
        <f>'Part VI-Revenues &amp; Expenses'!K20</f>
        <v>0</v>
      </c>
      <c r="L860" s="2136">
        <f t="shared" si="0"/>
        <v>575</v>
      </c>
      <c r="M860" s="2136">
        <f t="shared" si="1"/>
        <v>575</v>
      </c>
      <c r="N860" s="1917" t="str">
        <f>'Part VI-Revenues &amp; Expenses'!N20</f>
        <v>No</v>
      </c>
      <c r="O860" s="2137" t="str">
        <f>'Part VI-Revenues &amp; Expenses'!O20</f>
        <v>High-Rise Elevator</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f t="shared" si="8"/>
        <v>1</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f t="shared" si="68"/>
        <v>1</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f t="shared" si="123"/>
        <v>690</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f t="shared" si="168"/>
        <v>1</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f t="shared" si="213"/>
        <v>1</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f t="shared" si="283"/>
        <v>1</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1</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6726</v>
      </c>
    </row>
    <row r="861" spans="1:380" s="1853" customFormat="1" ht="13.9" customHeight="1">
      <c r="A861" s="2109" t="str">
        <f t="shared" si="327"/>
        <v/>
      </c>
      <c r="B861" s="2131">
        <f>'Part VI-Revenues &amp; Expenses'!B21</f>
        <v>50</v>
      </c>
      <c r="C861" s="2132">
        <f>'Part VI-Revenues &amp; Expenses'!C21</f>
        <v>2</v>
      </c>
      <c r="D861" s="2133">
        <f>'Part VI-Revenues &amp; Expenses'!D21</f>
        <v>1</v>
      </c>
      <c r="E861" s="2134">
        <f>'Part VI-Revenues &amp; Expenses'!E21</f>
        <v>12</v>
      </c>
      <c r="F861" s="2134">
        <f>'Part VI-Revenues &amp; Expenses'!F21</f>
        <v>891</v>
      </c>
      <c r="G861" s="2134">
        <f>'Part VI-Revenues &amp; Expenses'!G21</f>
        <v>661</v>
      </c>
      <c r="H861" s="2134">
        <f>'Part VI-Revenues &amp; Expenses'!H21</f>
        <v>654</v>
      </c>
      <c r="I861" s="2134">
        <f>'Part VI-Revenues &amp; Expenses'!I21</f>
        <v>0</v>
      </c>
      <c r="J861" s="2134">
        <f>'Part VI-Revenues &amp; Expenses'!J21</f>
        <v>129</v>
      </c>
      <c r="K861" s="2135">
        <f>'Part VI-Revenues &amp; Expenses'!K21</f>
        <v>0</v>
      </c>
      <c r="L861" s="2136">
        <f t="shared" si="0"/>
        <v>525</v>
      </c>
      <c r="M861" s="2136">
        <f t="shared" si="1"/>
        <v>6300</v>
      </c>
      <c r="N861" s="1917" t="str">
        <f>'Part VI-Revenues &amp; Expenses'!N21</f>
        <v>No</v>
      </c>
      <c r="O861" s="2137" t="str">
        <f>'Part VI-Revenues &amp; Expenses'!O21</f>
        <v>High-Rise Elevator</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f t="shared" si="19"/>
        <v>12</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f t="shared" si="134"/>
        <v>10692</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12</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12</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f t="shared" si="284"/>
        <v>12</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12</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6727</v>
      </c>
    </row>
    <row r="862" spans="1:380" s="1853" customFormat="1" ht="13.9" customHeight="1">
      <c r="A862" s="2109" t="str">
        <f t="shared" si="327"/>
        <v/>
      </c>
      <c r="B862" s="2131">
        <f>'Part VI-Revenues &amp; Expenses'!B22</f>
        <v>60</v>
      </c>
      <c r="C862" s="2132">
        <f>'Part VI-Revenues &amp; Expenses'!C22</f>
        <v>2</v>
      </c>
      <c r="D862" s="2133">
        <f>'Part VI-Revenues &amp; Expenses'!D22</f>
        <v>1</v>
      </c>
      <c r="E862" s="2134">
        <f>'Part VI-Revenues &amp; Expenses'!E22</f>
        <v>24</v>
      </c>
      <c r="F862" s="2134">
        <f>'Part VI-Revenues &amp; Expenses'!F22</f>
        <v>891</v>
      </c>
      <c r="G862" s="2134">
        <f>'Part VI-Revenues &amp; Expenses'!G22</f>
        <v>793</v>
      </c>
      <c r="H862" s="2134">
        <f>'Part VI-Revenues &amp; Expenses'!H22</f>
        <v>754</v>
      </c>
      <c r="I862" s="2134">
        <f>'Part VI-Revenues &amp; Expenses'!I22</f>
        <v>0</v>
      </c>
      <c r="J862" s="2134">
        <f>'Part VI-Revenues &amp; Expenses'!J22</f>
        <v>129</v>
      </c>
      <c r="K862" s="2135">
        <f>'Part VI-Revenues &amp; Expenses'!K22</f>
        <v>0</v>
      </c>
      <c r="L862" s="2136">
        <f t="shared" si="0"/>
        <v>625</v>
      </c>
      <c r="M862" s="2136">
        <f t="shared" si="1"/>
        <v>15000</v>
      </c>
      <c r="N862" s="1917" t="str">
        <f>'Part VI-Revenues &amp; Expenses'!N22</f>
        <v>No</v>
      </c>
      <c r="O862" s="2137" t="str">
        <f>'Part VI-Revenues &amp; Expenses'!O22</f>
        <v>High-Rise Elevator</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24</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21384</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24</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24</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f t="shared" si="284"/>
        <v>24</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24</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6728</v>
      </c>
    </row>
    <row r="863" spans="1:380" s="1853" customFormat="1" ht="13.9" customHeight="1">
      <c r="A863" s="2109" t="str">
        <f t="shared" si="327"/>
        <v/>
      </c>
      <c r="B863" s="2131">
        <f>'Part VI-Revenues &amp; Expenses'!B23</f>
        <v>70</v>
      </c>
      <c r="C863" s="2132">
        <f>'Part VI-Revenues &amp; Expenses'!C23</f>
        <v>2</v>
      </c>
      <c r="D863" s="2133">
        <f>'Part VI-Revenues &amp; Expenses'!D23</f>
        <v>1</v>
      </c>
      <c r="E863" s="2134">
        <f>'Part VI-Revenues &amp; Expenses'!E23</f>
        <v>4</v>
      </c>
      <c r="F863" s="2134">
        <f>'Part VI-Revenues &amp; Expenses'!F23</f>
        <v>891</v>
      </c>
      <c r="G863" s="2134">
        <f>'Part VI-Revenues &amp; Expenses'!G23</f>
        <v>925</v>
      </c>
      <c r="H863" s="2134">
        <f>'Part VI-Revenues &amp; Expenses'!H23</f>
        <v>779</v>
      </c>
      <c r="I863" s="2134">
        <f>'Part VI-Revenues &amp; Expenses'!I23</f>
        <v>0</v>
      </c>
      <c r="J863" s="2134">
        <f>'Part VI-Revenues &amp; Expenses'!J23</f>
        <v>129</v>
      </c>
      <c r="K863" s="2135">
        <f>'Part VI-Revenues &amp; Expenses'!K23</f>
        <v>0</v>
      </c>
      <c r="L863" s="2136">
        <f t="shared" si="0"/>
        <v>650</v>
      </c>
      <c r="M863" s="2136">
        <f t="shared" si="1"/>
        <v>2600</v>
      </c>
      <c r="N863" s="1917" t="str">
        <f>'Part VI-Revenues &amp; Expenses'!N23</f>
        <v>No</v>
      </c>
      <c r="O863" s="2137" t="str">
        <f>'Part VI-Revenues &amp; Expenses'!O23</f>
        <v>High-Rise Elevator</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f t="shared" si="9"/>
        <v>4</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f t="shared" si="69"/>
        <v>4</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f t="shared" si="124"/>
        <v>3564</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4</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4</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f t="shared" si="284"/>
        <v>4</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4</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6729</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6730</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6731</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6732</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6733</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6734</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6735</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6736</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6737</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6738</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6739</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6740</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6741</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6742</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6743</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6744</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6745</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6746</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6747</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6748</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6749</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6750</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6751</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6752</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6753</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6754</v>
      </c>
    </row>
    <row r="889" spans="1:380" s="1853" customFormat="1" ht="13.9" customHeight="1">
      <c r="A889" s="2109">
        <f>COUNT(A851,A852,A853,A854,A855,A856,A857,A858,A859,A860,A861,A862,A863,A864,A865,A866,A867,A868,A869,A870,A871,A872,A873,A874,A875,A876,A877,A878,A879,A880)</f>
        <v>0</v>
      </c>
      <c r="B889" s="435" t="s">
        <v>3922</v>
      </c>
      <c r="C889" s="435"/>
      <c r="D889" s="2142" t="s">
        <v>979</v>
      </c>
      <c r="E889" s="2143">
        <f>SUM(E851:E888)</f>
        <v>50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42540</v>
      </c>
      <c r="H889" s="2145" t="s">
        <v>3919</v>
      </c>
      <c r="I889" s="2146" t="s">
        <v>3920</v>
      </c>
      <c r="J889" s="2147" t="str">
        <f>IF(P907=0,"",IF(SUM(P898:P902)/P907&gt;=0.4,"Pass","Fail"))</f>
        <v>Pass</v>
      </c>
      <c r="K889" s="436"/>
      <c r="L889" s="2142" t="s">
        <v>1254</v>
      </c>
      <c r="M889" s="2148">
        <f>SUM(M851:M888)</f>
        <v>29065</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1</v>
      </c>
      <c r="AE889" s="2141">
        <f t="shared" si="338"/>
        <v>4</v>
      </c>
      <c r="AF889" s="2141">
        <f t="shared" si="338"/>
        <v>0</v>
      </c>
      <c r="AG889" s="2141">
        <f t="shared" si="338"/>
        <v>0</v>
      </c>
      <c r="AH889" s="2141">
        <f t="shared" si="338"/>
        <v>0</v>
      </c>
      <c r="AI889" s="2141">
        <f t="shared" si="338"/>
        <v>6</v>
      </c>
      <c r="AJ889" s="2141">
        <f t="shared" si="338"/>
        <v>24</v>
      </c>
      <c r="AK889" s="2141">
        <f t="shared" si="338"/>
        <v>0</v>
      </c>
      <c r="AL889" s="2141">
        <f t="shared" si="338"/>
        <v>0</v>
      </c>
      <c r="AM889" s="2141">
        <f>SUM(AM851:AM888)</f>
        <v>0</v>
      </c>
      <c r="AN889" s="2141">
        <f>SUM(AN851:AN888)</f>
        <v>3</v>
      </c>
      <c r="AO889" s="2141">
        <f>SUM(AO851:AO888)</f>
        <v>12</v>
      </c>
      <c r="AP889" s="2141">
        <f>SUM(AP851:AP888)</f>
        <v>0</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1</v>
      </c>
      <c r="CM889" s="2141">
        <f>SUM(CM851:CM888)</f>
        <v>4</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690</v>
      </c>
      <c r="EP889" s="2141">
        <f t="shared" si="338"/>
        <v>3564</v>
      </c>
      <c r="EQ889" s="2141">
        <f t="shared" si="338"/>
        <v>0</v>
      </c>
      <c r="ER889" s="2141">
        <f t="shared" si="338"/>
        <v>0</v>
      </c>
      <c r="ES889" s="2141">
        <f t="shared" si="338"/>
        <v>0</v>
      </c>
      <c r="ET889" s="2141">
        <f t="shared" si="338"/>
        <v>4140</v>
      </c>
      <c r="EU889" s="2141">
        <f t="shared" si="338"/>
        <v>21384</v>
      </c>
      <c r="EV889" s="2141">
        <f t="shared" si="338"/>
        <v>0</v>
      </c>
      <c r="EW889" s="2141">
        <f t="shared" si="338"/>
        <v>0</v>
      </c>
      <c r="EX889" s="2141">
        <f t="shared" si="338"/>
        <v>0</v>
      </c>
      <c r="EY889" s="2141">
        <f t="shared" si="338"/>
        <v>2070</v>
      </c>
      <c r="EZ889" s="2141">
        <f t="shared" si="338"/>
        <v>10692</v>
      </c>
      <c r="FA889" s="2141">
        <f t="shared" si="338"/>
        <v>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10</v>
      </c>
      <c r="GI889" s="2141">
        <f t="shared" si="340"/>
        <v>40</v>
      </c>
      <c r="GJ889" s="2141">
        <f t="shared" si="340"/>
        <v>0</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10</v>
      </c>
      <c r="IB889" s="2141">
        <f t="shared" si="341"/>
        <v>40</v>
      </c>
      <c r="IC889" s="2141">
        <f t="shared" si="341"/>
        <v>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10</v>
      </c>
      <c r="KT889" s="2141">
        <f t="shared" si="342"/>
        <v>40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10</v>
      </c>
      <c r="MM889" s="2141">
        <f t="shared" si="342"/>
        <v>40</v>
      </c>
      <c r="MN889" s="2141">
        <f t="shared" si="342"/>
        <v>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6755</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9"/>
      <c r="D890" s="2109" t="s">
        <v>3829</v>
      </c>
      <c r="E890" s="2143">
        <f>SUM(E858:E888)</f>
        <v>50</v>
      </c>
      <c r="F890" s="2144">
        <f>(E858*F858+E859*F859+E860*F860+E861*F861+E862*F862+E863*F863+E864*F864+E865*F865+E866*F866+E867*F867+E868*F868+E869*F869+E870*F870+E871*F871+E872*F872+E873*F873+E874*F874+E875*F875+E876*F876+E877*F877+E878*F878+E879*F879+E880*F880+E881*F881+E882*F882+E883*F883+E884*F884+E885*F885+E886*F886+E887*F887+E888*F888)</f>
        <v>42540</v>
      </c>
      <c r="H890" s="2145"/>
      <c r="I890" s="2146" t="s">
        <v>3921</v>
      </c>
      <c r="J890" s="2147" t="str">
        <f>IF(P907=0,"",IF(SUM(P899:P902)/P907&gt;=0.2,"Pass","Fail"))</f>
        <v>Pass</v>
      </c>
      <c r="K890" s="436"/>
      <c r="L890" s="2142" t="s">
        <v>781</v>
      </c>
      <c r="M890" s="2148">
        <f>M889*12</f>
        <v>348780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6756</v>
      </c>
    </row>
    <row r="891" spans="1:380" s="1853" customFormat="1" ht="12" customHeight="1">
      <c r="A891" s="1865" t="s">
        <v>7108</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4282</v>
      </c>
      <c r="B896" s="1843"/>
      <c r="C896" s="1818" t="s">
        <v>1095</v>
      </c>
      <c r="D896" s="1818"/>
      <c r="E896" s="1818"/>
      <c r="F896" s="1818"/>
      <c r="H896" s="1719" t="s">
        <v>3830</v>
      </c>
      <c r="I896" s="435"/>
      <c r="K896" s="2153">
        <f>X889</f>
        <v>0</v>
      </c>
      <c r="L896" s="2153">
        <f>Y889</f>
        <v>0</v>
      </c>
      <c r="M896" s="2153">
        <f>Z889</f>
        <v>0</v>
      </c>
      <c r="N896" s="2153">
        <f>AA889</f>
        <v>0</v>
      </c>
      <c r="O896" s="2153">
        <f>AB889</f>
        <v>0</v>
      </c>
      <c r="P896" s="2153">
        <f t="shared" ref="P896:P907" si="343">SUM(K896:O896)</f>
        <v>0</v>
      </c>
      <c r="Q896" s="1865" t="s">
        <v>3309</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1</v>
      </c>
      <c r="M897" s="2153">
        <f>AE889</f>
        <v>4</v>
      </c>
      <c r="N897" s="2153">
        <f>AF889</f>
        <v>0</v>
      </c>
      <c r="O897" s="2153">
        <f>AG889</f>
        <v>0</v>
      </c>
      <c r="P897" s="2153">
        <f t="shared" si="343"/>
        <v>5</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6</v>
      </c>
      <c r="M898" s="2153">
        <f>AJ889</f>
        <v>24</v>
      </c>
      <c r="N898" s="2153">
        <f>AK889</f>
        <v>0</v>
      </c>
      <c r="O898" s="2153">
        <f>AL889</f>
        <v>0</v>
      </c>
      <c r="P898" s="2153">
        <f t="shared" si="343"/>
        <v>30</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3</v>
      </c>
      <c r="M899" s="2153">
        <f>AO889</f>
        <v>12</v>
      </c>
      <c r="N899" s="2153">
        <f>AP889</f>
        <v>0</v>
      </c>
      <c r="O899" s="2153">
        <f>AQ889</f>
        <v>0</v>
      </c>
      <c r="P899" s="2153">
        <f t="shared" si="343"/>
        <v>15</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10</v>
      </c>
      <c r="M903" s="2153">
        <f>SUM(M896:M902)</f>
        <v>40</v>
      </c>
      <c r="N903" s="2153">
        <f>SUM(N896:N902)</f>
        <v>0</v>
      </c>
      <c r="O903" s="2153">
        <f>SUM(O896:O902)</f>
        <v>0</v>
      </c>
      <c r="P903" s="2153">
        <f t="shared" si="343"/>
        <v>50</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10</v>
      </c>
      <c r="M905" s="2158">
        <f>SUM(M903:M904)</f>
        <v>40</v>
      </c>
      <c r="N905" s="2158">
        <f>SUM(N903:N904)</f>
        <v>0</v>
      </c>
      <c r="O905" s="2158">
        <f>SUM(O903:O904)</f>
        <v>0</v>
      </c>
      <c r="P905" s="2158">
        <f t="shared" si="343"/>
        <v>50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3310</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10</v>
      </c>
      <c r="M907" s="2153">
        <f>SUM(M905:M906)</f>
        <v>40</v>
      </c>
      <c r="N907" s="2153">
        <f>SUM(N905:N906)</f>
        <v>0</v>
      </c>
      <c r="O907" s="2153">
        <f>SUM(O905:O906)</f>
        <v>0</v>
      </c>
      <c r="P907" s="2153">
        <f t="shared" si="343"/>
        <v>50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3927</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3830</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4274</v>
      </c>
      <c r="S910" s="2044"/>
      <c r="T910" s="2044"/>
      <c r="U910" s="2044"/>
      <c r="V910" s="2044"/>
      <c r="W910" s="2044"/>
    </row>
    <row r="911" spans="1:380">
      <c r="A911" s="1843"/>
      <c r="B911" s="1843"/>
      <c r="C911" s="2114"/>
      <c r="D911" s="1853"/>
      <c r="E911" s="1853"/>
      <c r="F911" s="1853"/>
      <c r="G911" s="1853"/>
      <c r="H911" s="2160" t="s">
        <v>7109</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7110</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7111</v>
      </c>
      <c r="E913" s="2114"/>
      <c r="F913" s="2114"/>
      <c r="G913" s="1853"/>
      <c r="H913" s="2160" t="s">
        <v>3831</v>
      </c>
      <c r="I913" s="2161"/>
      <c r="J913" s="1818"/>
      <c r="K913" s="2163" t="str">
        <f t="shared" ref="K913:P913" si="346">IF(OR(K897=0,K907=0),"",K897/K907)</f>
        <v/>
      </c>
      <c r="L913" s="2163">
        <f t="shared" si="346"/>
        <v>0.1</v>
      </c>
      <c r="M913" s="2163">
        <f t="shared" si="346"/>
        <v>0.1</v>
      </c>
      <c r="N913" s="2163" t="str">
        <f t="shared" si="346"/>
        <v/>
      </c>
      <c r="O913" s="2163" t="str">
        <f t="shared" si="346"/>
        <v/>
      </c>
      <c r="P913" s="2163">
        <f t="shared" si="346"/>
        <v>0.1</v>
      </c>
      <c r="S913" s="2044"/>
      <c r="T913" s="2044"/>
      <c r="U913" s="2044"/>
      <c r="V913" s="2044"/>
      <c r="W913" s="2044"/>
    </row>
    <row r="914" spans="3:23">
      <c r="C914" s="2114"/>
      <c r="D914" s="2114"/>
      <c r="E914" s="2114"/>
      <c r="F914" s="2114"/>
      <c r="G914" s="1853"/>
      <c r="H914" s="2160" t="s">
        <v>7109</v>
      </c>
      <c r="I914" s="2161"/>
      <c r="J914" s="1818"/>
      <c r="K914" s="2164" t="str">
        <f>IF(OR(K897=0,P913="",K907=0),"",P913*K907)</f>
        <v/>
      </c>
      <c r="L914" s="2164">
        <f>IF(OR(L897=0,P913="",L907=0),"",P913*L907)</f>
        <v>1</v>
      </c>
      <c r="M914" s="2164">
        <f>IF(OR(M897=0,P913="",M907=0),"",P913*M907)</f>
        <v>4</v>
      </c>
      <c r="N914" s="2164" t="str">
        <f>IF(OR(N897=0,P913="",N907=0),"",P913*N907)</f>
        <v/>
      </c>
      <c r="O914" s="2164" t="str">
        <f>IF(OR(O897=0,P913="",O907=0),"",P913*O907)</f>
        <v/>
      </c>
      <c r="P914" s="2164">
        <f>IF(OR(P913="",P907=0),"",P913*P907)</f>
        <v>5</v>
      </c>
      <c r="S914" s="2044"/>
      <c r="T914" s="2044"/>
      <c r="U914" s="2044"/>
      <c r="V914" s="2044"/>
      <c r="W914" s="2044"/>
    </row>
    <row r="915" spans="3:23">
      <c r="C915" s="2114"/>
      <c r="D915" s="2114"/>
      <c r="E915" s="2114"/>
      <c r="F915" s="2114"/>
      <c r="G915" s="2165"/>
      <c r="H915" s="2160" t="s">
        <v>7110</v>
      </c>
      <c r="I915" s="2161"/>
      <c r="J915" s="1818"/>
      <c r="K915" s="2164" t="str">
        <f t="shared" ref="K915:P915" si="347">IF(OR(K914="",K897=0),"", K897-K914)</f>
        <v/>
      </c>
      <c r="L915" s="2164">
        <f t="shared" si="347"/>
        <v>0</v>
      </c>
      <c r="M915" s="2164">
        <f t="shared" si="347"/>
        <v>0</v>
      </c>
      <c r="N915" s="2164" t="str">
        <f t="shared" si="347"/>
        <v/>
      </c>
      <c r="O915" s="2164" t="str">
        <f t="shared" si="347"/>
        <v/>
      </c>
      <c r="P915" s="2164">
        <f t="shared" si="347"/>
        <v>0</v>
      </c>
      <c r="S915" s="2044"/>
      <c r="T915" s="2044"/>
      <c r="U915" s="2044"/>
      <c r="V915" s="2044"/>
      <c r="W915" s="2044"/>
    </row>
    <row r="916" spans="3:23">
      <c r="C916" s="1925" t="s">
        <v>4272</v>
      </c>
      <c r="D916" s="2114"/>
      <c r="E916" s="2114"/>
      <c r="F916" s="2114"/>
      <c r="G916" s="1853"/>
      <c r="H916" s="2160" t="s">
        <v>1107</v>
      </c>
      <c r="I916" s="2161"/>
      <c r="J916" s="1818"/>
      <c r="K916" s="2163" t="str">
        <f t="shared" ref="K916:P916" si="348">IF(OR(K898=0,K907=0),"",K898/K907)</f>
        <v/>
      </c>
      <c r="L916" s="2163">
        <f t="shared" si="348"/>
        <v>0.6</v>
      </c>
      <c r="M916" s="2163">
        <f t="shared" si="348"/>
        <v>0.6</v>
      </c>
      <c r="N916" s="2163" t="str">
        <f t="shared" si="348"/>
        <v/>
      </c>
      <c r="O916" s="2163" t="str">
        <f t="shared" si="348"/>
        <v/>
      </c>
      <c r="P916" s="2163">
        <f t="shared" si="348"/>
        <v>0.6</v>
      </c>
      <c r="S916" s="2044"/>
      <c r="T916" s="2044"/>
      <c r="U916" s="2044"/>
      <c r="V916" s="2044"/>
      <c r="W916" s="2044"/>
    </row>
    <row r="917" spans="3:23" ht="15.75" customHeight="1">
      <c r="D917" s="2114"/>
      <c r="E917" s="2114"/>
      <c r="F917" s="2114"/>
      <c r="G917" s="1853"/>
      <c r="H917" s="2160" t="s">
        <v>7109</v>
      </c>
      <c r="I917" s="2161"/>
      <c r="J917" s="1818"/>
      <c r="K917" s="2164" t="str">
        <f>IF(OR(K898=0,P916="",K907=0),"",P916*K907)</f>
        <v/>
      </c>
      <c r="L917" s="2164">
        <f>IF(OR(L898=0,P916="",L907=0),"",P916*L907)</f>
        <v>6</v>
      </c>
      <c r="M917" s="2164">
        <f>IF(OR(M898=0,P916="",M907=0),"",P916*M907)</f>
        <v>24</v>
      </c>
      <c r="N917" s="2164" t="str">
        <f>IF(OR(N898=0,P916="",N907=0),"",P916*N907)</f>
        <v/>
      </c>
      <c r="O917" s="2164" t="str">
        <f>IF(OR(O898=0,P916="",O907=0),"",P916*O907)</f>
        <v/>
      </c>
      <c r="P917" s="2164">
        <f>IF(OR(P916="",P907=0),"",P916*P907)</f>
        <v>30</v>
      </c>
      <c r="S917" s="2044"/>
      <c r="T917" s="2044"/>
      <c r="U917" s="2044"/>
      <c r="V917" s="2044"/>
      <c r="W917" s="2044"/>
    </row>
    <row r="918" spans="3:23" ht="15.75" customHeight="1">
      <c r="D918" s="2114"/>
      <c r="E918" s="2114"/>
      <c r="F918" s="2114"/>
      <c r="G918" s="2165"/>
      <c r="H918" s="2160" t="s">
        <v>7110</v>
      </c>
      <c r="I918" s="2161"/>
      <c r="J918" s="1818"/>
      <c r="K918" s="2164" t="str">
        <f t="shared" ref="K918:P918" si="349">IF(OR(K917="",K898=0),"", K898-K917)</f>
        <v/>
      </c>
      <c r="L918" s="2164">
        <f t="shared" si="349"/>
        <v>0</v>
      </c>
      <c r="M918" s="2164">
        <f t="shared" si="349"/>
        <v>0</v>
      </c>
      <c r="N918" s="2164" t="str">
        <f t="shared" si="349"/>
        <v/>
      </c>
      <c r="O918" s="2164" t="str">
        <f t="shared" si="349"/>
        <v/>
      </c>
      <c r="P918" s="2164">
        <f t="shared" si="349"/>
        <v>0</v>
      </c>
    </row>
    <row r="919" spans="3:23">
      <c r="C919" s="1925" t="s">
        <v>4272</v>
      </c>
      <c r="F919" s="1853"/>
      <c r="G919" s="1853"/>
      <c r="H919" s="2160" t="s">
        <v>111</v>
      </c>
      <c r="I919" s="2161"/>
      <c r="J919" s="1818"/>
      <c r="K919" s="2163" t="str">
        <f t="shared" ref="K919:P919" si="350">IF(OR(K899=0,K907=0),"",K899/K907)</f>
        <v/>
      </c>
      <c r="L919" s="2163">
        <f t="shared" si="350"/>
        <v>0.3</v>
      </c>
      <c r="M919" s="2163">
        <f t="shared" si="350"/>
        <v>0.3</v>
      </c>
      <c r="N919" s="2163" t="str">
        <f t="shared" si="350"/>
        <v/>
      </c>
      <c r="O919" s="2163" t="str">
        <f t="shared" si="350"/>
        <v/>
      </c>
      <c r="P919" s="2163">
        <f t="shared" si="350"/>
        <v>0.3</v>
      </c>
    </row>
    <row r="920" spans="3:23">
      <c r="F920" s="1853"/>
      <c r="G920" s="1853"/>
      <c r="H920" s="2160" t="s">
        <v>7109</v>
      </c>
      <c r="I920" s="2161"/>
      <c r="J920" s="1818"/>
      <c r="K920" s="2164" t="str">
        <f>IF(OR(K899=0,P919="",K907=0),"",P919*K907)</f>
        <v/>
      </c>
      <c r="L920" s="2164">
        <f>IF(OR(L899=0,P919="",L907=0),"",P919*L907)</f>
        <v>3</v>
      </c>
      <c r="M920" s="2164">
        <f>IF(OR(M899=0,P919="",M907=0),"",P919*M907)</f>
        <v>12</v>
      </c>
      <c r="N920" s="2164" t="str">
        <f>IF(OR(N899=0,P919="",N907=0),"",P919*N907)</f>
        <v/>
      </c>
      <c r="O920" s="2164" t="str">
        <f>IF(OR(O899=0,P919="",O907=0),"",P919*O907)</f>
        <v/>
      </c>
      <c r="P920" s="2164">
        <f>IF(OR(P919="",P907=0),"",P919*P907)</f>
        <v>15</v>
      </c>
    </row>
    <row r="921" spans="3:23">
      <c r="F921" s="1853"/>
      <c r="G921" s="2165"/>
      <c r="H921" s="2160" t="s">
        <v>7110</v>
      </c>
      <c r="I921" s="2161"/>
      <c r="J921" s="1818"/>
      <c r="K921" s="2164" t="str">
        <f t="shared" ref="K921:P921" si="351">IF(OR(K920="",K899=0),"", K899-K920)</f>
        <v/>
      </c>
      <c r="L921" s="2164">
        <f t="shared" si="351"/>
        <v>0</v>
      </c>
      <c r="M921" s="2164">
        <f t="shared" si="351"/>
        <v>0</v>
      </c>
      <c r="N921" s="2164" t="str">
        <f t="shared" si="351"/>
        <v/>
      </c>
      <c r="O921" s="2164" t="str">
        <f t="shared" si="351"/>
        <v/>
      </c>
      <c r="P921" s="2164">
        <f t="shared" si="351"/>
        <v>0</v>
      </c>
    </row>
    <row r="922" spans="3:23">
      <c r="C922" s="1925" t="s">
        <v>4272</v>
      </c>
      <c r="F922" s="1853"/>
      <c r="G922" s="1853"/>
      <c r="H922" s="2160" t="s">
        <v>3832</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7109</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7110</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4272</v>
      </c>
      <c r="D925" s="1853"/>
      <c r="E925" s="1853"/>
      <c r="F925" s="1853"/>
      <c r="G925" s="1853"/>
      <c r="H925" s="2160" t="s">
        <v>3833</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7109</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7110</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4272</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7109</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7110</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3831</v>
      </c>
      <c r="I934" s="435"/>
      <c r="K934" s="2153">
        <f>CK889</f>
        <v>0</v>
      </c>
      <c r="L934" s="2153">
        <f>CL889</f>
        <v>1</v>
      </c>
      <c r="M934" s="2153">
        <f>CM889</f>
        <v>4</v>
      </c>
      <c r="N934" s="2153">
        <f>CN889</f>
        <v>0</v>
      </c>
      <c r="O934" s="2153">
        <f>CO889</f>
        <v>0</v>
      </c>
      <c r="P934" s="2153">
        <f t="shared" si="358"/>
        <v>5</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1</v>
      </c>
      <c r="M940" s="2153">
        <f>SUM(M933:M939)</f>
        <v>4</v>
      </c>
      <c r="N940" s="2153">
        <f>SUM(N933:N939)</f>
        <v>0</v>
      </c>
      <c r="O940" s="2153">
        <f>SUM(O933:O939)</f>
        <v>0</v>
      </c>
      <c r="P940" s="2153">
        <f t="shared" si="358"/>
        <v>5</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7112</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10</v>
      </c>
      <c r="M953" s="2153">
        <f>GI889</f>
        <v>40</v>
      </c>
      <c r="N953" s="2153">
        <f>GJ889</f>
        <v>0</v>
      </c>
      <c r="O953" s="2153">
        <f>GK889</f>
        <v>0</v>
      </c>
      <c r="P953" s="2153">
        <f t="shared" ref="P953:P963" si="360">SUM(K953:O953)</f>
        <v>50</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10</v>
      </c>
      <c r="M955" s="2153">
        <f>SUM(M953:M954)+GS889</f>
        <v>40</v>
      </c>
      <c r="N955" s="2153">
        <f>SUM(N953:N954)+GT889</f>
        <v>0</v>
      </c>
      <c r="O955" s="2153">
        <f>SUM(O953:O954)+GU889</f>
        <v>0</v>
      </c>
      <c r="P955" s="2153">
        <f t="shared" si="360"/>
        <v>50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6847</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7113</v>
      </c>
      <c r="D967" s="2159"/>
      <c r="E967" s="1719" t="s">
        <v>36</v>
      </c>
      <c r="F967" s="1818"/>
      <c r="G967" s="1865"/>
      <c r="H967" s="2115"/>
      <c r="K967" s="2153">
        <f t="shared" ref="K967:P967" si="361">SUM(K968:K975)</f>
        <v>0</v>
      </c>
      <c r="L967" s="2153">
        <f t="shared" si="361"/>
        <v>10</v>
      </c>
      <c r="M967" s="2153">
        <f t="shared" si="361"/>
        <v>40</v>
      </c>
      <c r="N967" s="2153">
        <f t="shared" si="361"/>
        <v>0</v>
      </c>
      <c r="O967" s="2153">
        <f t="shared" si="361"/>
        <v>0</v>
      </c>
      <c r="P967" s="2153">
        <f t="shared" si="361"/>
        <v>50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6596</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6598</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10</v>
      </c>
      <c r="M974" s="2153">
        <f>KT889</f>
        <v>40</v>
      </c>
      <c r="N974" s="2153">
        <f>KU889</f>
        <v>0</v>
      </c>
      <c r="O974" s="2153">
        <f>KV889</f>
        <v>0</v>
      </c>
      <c r="P974" s="2153">
        <f t="shared" si="362"/>
        <v>50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6592</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7112</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7114</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10</v>
      </c>
      <c r="M993" s="2153">
        <f t="shared" si="366"/>
        <v>40</v>
      </c>
      <c r="N993" s="2153">
        <f t="shared" si="366"/>
        <v>0</v>
      </c>
      <c r="O993" s="2153">
        <f t="shared" si="366"/>
        <v>0</v>
      </c>
      <c r="P993" s="2153">
        <f t="shared" si="364"/>
        <v>50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7040</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3830</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690</v>
      </c>
      <c r="M998" s="2172">
        <f>EP889</f>
        <v>3564</v>
      </c>
      <c r="N998" s="2172">
        <f>EQ889</f>
        <v>0</v>
      </c>
      <c r="O998" s="2172">
        <f>ER889</f>
        <v>0</v>
      </c>
      <c r="P998" s="2172">
        <f t="shared" si="367"/>
        <v>4254</v>
      </c>
      <c r="Q998" s="2173">
        <f t="shared" si="368"/>
        <v>850.8</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4140</v>
      </c>
      <c r="M999" s="2172">
        <f>EU889</f>
        <v>21384</v>
      </c>
      <c r="N999" s="2172">
        <f>EV889</f>
        <v>0</v>
      </c>
      <c r="O999" s="2172">
        <f>EW889</f>
        <v>0</v>
      </c>
      <c r="P999" s="2172">
        <f t="shared" si="367"/>
        <v>25524</v>
      </c>
      <c r="Q999" s="2173">
        <f t="shared" si="368"/>
        <v>850.8</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2070</v>
      </c>
      <c r="M1000" s="2172">
        <f>EZ889</f>
        <v>10692</v>
      </c>
      <c r="N1000" s="2172">
        <f>FA889</f>
        <v>0</v>
      </c>
      <c r="O1000" s="2172">
        <f>FB889</f>
        <v>0</v>
      </c>
      <c r="P1000" s="2172">
        <f t="shared" si="367"/>
        <v>12762</v>
      </c>
      <c r="Q1000" s="2173">
        <f t="shared" si="368"/>
        <v>850.8</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6900</v>
      </c>
      <c r="M1004" s="2174">
        <f>SUM(M997:M1003)</f>
        <v>35640</v>
      </c>
      <c r="N1004" s="2174">
        <f>SUM(N997:N1003)</f>
        <v>0</v>
      </c>
      <c r="O1004" s="2174">
        <f>SUM(O997:O1003)</f>
        <v>0</v>
      </c>
      <c r="P1004" s="2174">
        <f>SUM(K1004:O1004)</f>
        <v>42540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6900</v>
      </c>
      <c r="M1006" s="2174">
        <f>SUM(M1004:M1005)</f>
        <v>35640</v>
      </c>
      <c r="N1006" s="2174">
        <f>SUM(N1004:N1005)</f>
        <v>0</v>
      </c>
      <c r="O1006" s="2174">
        <f>SUM(O1004:O1005)</f>
        <v>0</v>
      </c>
      <c r="P1006" s="2174">
        <f>SUM(K1006:O1006)</f>
        <v>42540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6900</v>
      </c>
      <c r="M1008" s="2172">
        <f>SUM(M1006:M1007)</f>
        <v>35640</v>
      </c>
      <c r="N1008" s="2172">
        <f>SUM(N1006:N1007)</f>
        <v>0</v>
      </c>
      <c r="O1008" s="2172">
        <f>SUM(O1006:O1007)</f>
        <v>0</v>
      </c>
      <c r="P1008" s="2172">
        <f>SUM(K1008:O1008)</f>
        <v>42540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7115</v>
      </c>
      <c r="K1011" s="2175" t="str">
        <f>IF(OR(K907="",K907=0),"",K1008/K907)</f>
        <v/>
      </c>
      <c r="L1011" s="2175">
        <f>IF(OR(L907="",L907=0),"",L1008/L907)</f>
        <v>690</v>
      </c>
      <c r="M1011" s="2175">
        <f>IF(OR(M907="",M907=0),"",M1008/M907)</f>
        <v>891</v>
      </c>
      <c r="N1011" s="2175" t="str">
        <f>IF(OR(N907="",N907=0),"",N1008/N907)</f>
        <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7116</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6975.6</v>
      </c>
      <c r="I1016" s="2177"/>
      <c r="J1016" s="2177"/>
      <c r="K1016" s="1719"/>
      <c r="L1016" s="2116" t="s">
        <v>7041</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7042</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7043</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7042</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7043</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7042</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7043</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7042</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7043</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24000</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30888</v>
      </c>
      <c r="G1058" s="2190"/>
      <c r="I1058" s="1818" t="s">
        <v>1329</v>
      </c>
      <c r="L1058" s="2190">
        <f>'Part VI-Revenues &amp; Expenses'!L218</f>
        <v>0</v>
      </c>
      <c r="M1058" s="2190"/>
      <c r="O1058" s="2191">
        <f>+Q1057/(P907*0.93)</f>
        <v>516.12903225806451</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33290</v>
      </c>
      <c r="G1059" s="2190"/>
      <c r="I1059" s="1818" t="s">
        <v>1330</v>
      </c>
      <c r="L1059" s="2190">
        <f>'Part VI-Revenues &amp; Expenses'!L219</f>
        <v>600</v>
      </c>
      <c r="M1059" s="2190"/>
      <c r="O1059" s="2191">
        <f>+Q1057/(P907*0.93)/12</f>
        <v>43.01075268817204</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600</v>
      </c>
      <c r="M1060" s="2172"/>
      <c r="O1060" s="435" t="s">
        <v>3355</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4220</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4221</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64178</v>
      </c>
      <c r="G1064" s="2172"/>
      <c r="I1064" s="1818" t="s">
        <v>1536</v>
      </c>
      <c r="L1064" s="2190">
        <f>'Part VI-Revenues &amp; Expenses'!L224</f>
        <v>500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7000</v>
      </c>
      <c r="M1065" s="2190"/>
      <c r="N1065" s="1719" t="str">
        <f>IF(Q1067="","",IF(Q1065&lt;Q1067, "WARNING! OE below required minimum.",""))</f>
        <v/>
      </c>
      <c r="O1065" s="1818" t="s">
        <v>2091</v>
      </c>
      <c r="Q1065" s="2175">
        <f>F1064+F1073+F1084+L1060+L1068+L1077+L1084+Q1057</f>
        <v>249488</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500</v>
      </c>
      <c r="M1066" s="2190"/>
      <c r="N1066" s="1719"/>
      <c r="O1066" s="2157" t="s">
        <v>2588</v>
      </c>
      <c r="P1066" s="2191">
        <f>+Q1065/P907</f>
        <v>4989.76</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6757</v>
      </c>
    </row>
    <row r="1067" spans="2:380" s="1818" customFormat="1" ht="15.6" customHeight="1">
      <c r="B1067" s="1818" t="s">
        <v>1323</v>
      </c>
      <c r="D1067" s="2193"/>
      <c r="F1067" s="2190">
        <f>'Part VI-Revenues &amp; Expenses'!F227</f>
        <v>1750</v>
      </c>
      <c r="G1067" s="2190"/>
      <c r="I1067" s="2194" t="str">
        <f>'Part VI-Revenues &amp; Expenses'!I227</f>
        <v>Other (describe here)</v>
      </c>
      <c r="J1067" s="2194"/>
      <c r="K1067" s="2194"/>
      <c r="L1067" s="2190">
        <f>'Part VI-Revenues &amp; Expenses'!L227</f>
        <v>0</v>
      </c>
      <c r="M1067" s="2190"/>
      <c r="N1067" s="1719"/>
      <c r="P1067" s="2157" t="s">
        <v>3356</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8500</v>
      </c>
      <c r="G1068" s="2190"/>
      <c r="K1068" s="2192" t="s">
        <v>183</v>
      </c>
      <c r="L1068" s="2175">
        <f>SUM(L1064:L1067)</f>
        <v>8000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6758</v>
      </c>
    </row>
    <row r="1071" spans="2:380" s="1818" customFormat="1" ht="15.6" customHeight="1">
      <c r="B1071" s="1818" t="s">
        <v>1534</v>
      </c>
      <c r="D1071" s="2193"/>
      <c r="F1071" s="2190">
        <f>'Part VI-Revenues &amp; Expenses'!F231</f>
        <v>2880</v>
      </c>
      <c r="G1071" s="2190"/>
      <c r="I1071" s="1818" t="s">
        <v>1326</v>
      </c>
      <c r="K1071" s="1858" t="s">
        <v>4064</v>
      </c>
      <c r="O1071" s="1818" t="s">
        <v>3206</v>
      </c>
      <c r="Q1071" s="2195">
        <f>'Part VI-Revenues &amp; Expenses'!Q231</f>
        <v>12500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Miscellaneous Administrative</v>
      </c>
      <c r="C1072" s="2112"/>
      <c r="D1072" s="2112"/>
      <c r="E1072" s="2112"/>
      <c r="F1072" s="2190">
        <f>'Part VI-Revenues &amp; Expenses'!F232</f>
        <v>6000</v>
      </c>
      <c r="G1072" s="2190"/>
      <c r="I1072" s="1818" t="s">
        <v>1319</v>
      </c>
      <c r="K1072" s="2011">
        <f>L1072/12/P907</f>
        <v>32.5</v>
      </c>
      <c r="L1072" s="2190">
        <f>'Part VI-Revenues &amp; Expenses'!L232</f>
        <v>19500</v>
      </c>
      <c r="M1072" s="2190"/>
      <c r="N1072" s="1719" t="str">
        <f>IF(Q1071&lt;Q1080, "WARNING! RR proposed is below the DCA required minimum.","")</f>
        <v/>
      </c>
      <c r="O1072" s="435" t="s">
        <v>4063</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19130</v>
      </c>
      <c r="G1073" s="2172"/>
      <c r="I1073" s="1818" t="s">
        <v>1320</v>
      </c>
      <c r="K1073" s="2011">
        <f>L1073/12/P907</f>
        <v>0</v>
      </c>
      <c r="L1073" s="2190">
        <f>'Part VI-Revenues &amp; Expenses'!L233</f>
        <v>0</v>
      </c>
      <c r="M1073" s="2190"/>
      <c r="N1073" s="1719"/>
      <c r="O1073" s="2197" t="s">
        <v>3363</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4120</v>
      </c>
      <c r="K1074" s="2011">
        <f>L1074/12/P907</f>
        <v>6.6666666666666661</v>
      </c>
      <c r="L1074" s="2190">
        <f>'Part VI-Revenues &amp; Expenses'!L234</f>
        <v>4000</v>
      </c>
      <c r="M1074" s="2190"/>
      <c r="N1074" s="1719"/>
      <c r="O1074" s="2198" t="s">
        <v>2561</v>
      </c>
      <c r="P1074" s="2199" t="s">
        <v>3420</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6691</v>
      </c>
    </row>
    <row r="1075" spans="1:380" s="1818" customFormat="1" ht="15.75" customHeight="1">
      <c r="B1075" s="1818" t="s">
        <v>1245</v>
      </c>
      <c r="D1075" s="2193"/>
      <c r="I1075" s="1818" t="s">
        <v>1322</v>
      </c>
      <c r="L1075" s="2190">
        <f>'Part VI-Revenues &amp; Expenses'!L235</f>
        <v>5000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2500</v>
      </c>
      <c r="G1076" s="2190"/>
      <c r="I1076" s="2194" t="str">
        <f>'Part VI-Revenues &amp; Expenses'!I236</f>
        <v>TV/Wi-Fi</v>
      </c>
      <c r="J1076" s="2194"/>
      <c r="K1076" s="2194"/>
      <c r="L1076" s="2190">
        <f>'Part VI-Revenues &amp; Expenses'!L236</f>
        <v>1920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4500</v>
      </c>
      <c r="G1077" s="2190"/>
      <c r="K1077" s="2192" t="s">
        <v>183</v>
      </c>
      <c r="L1077" s="2175">
        <f>SUM(L1072:L1076)</f>
        <v>30420</v>
      </c>
      <c r="M1077" s="2175"/>
      <c r="N1077" s="1719"/>
      <c r="O1077" s="1865" t="s">
        <v>3171</v>
      </c>
      <c r="P1077" s="2200" t="str">
        <f>CONCATENATE(SUM(MK889:MO889)," units x $",'DCA Underwriting Assumptions'!$Q$69," =")</f>
        <v>50 units x $250 =</v>
      </c>
      <c r="Q1077" s="2200">
        <f>SUM(MK889:MO889)*'DCA Underwriting Assumptions'!$Q$69</f>
        <v>12500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18000</v>
      </c>
      <c r="G1078" s="2190"/>
      <c r="N1078" s="1719"/>
      <c r="O1078" s="1865" t="s">
        <v>6835</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7000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6759</v>
      </c>
    </row>
    <row r="1080" spans="1:380" s="1818" customFormat="1" ht="15.6" customHeight="1">
      <c r="B1080" s="1818" t="s">
        <v>965</v>
      </c>
      <c r="D1080" s="2193"/>
      <c r="F1080" s="2190">
        <f>'Part VI-Revenues &amp; Expenses'!F240</f>
        <v>1200</v>
      </c>
      <c r="G1080" s="2190"/>
      <c r="I1080" s="1818" t="s">
        <v>1327</v>
      </c>
      <c r="O1080" s="2142" t="s">
        <v>2564</v>
      </c>
      <c r="P1080" s="2201">
        <f>SUM(MF889:MJ889)+SUM(MK889:MO889)+SUM(MP889:MT889)+P965</f>
        <v>50</v>
      </c>
      <c r="Q1080" s="2201">
        <f>SUM(Q1076:Q1079)</f>
        <v>12500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3000</v>
      </c>
      <c r="G1081" s="2190"/>
      <c r="I1081" s="1818" t="s">
        <v>7117</v>
      </c>
      <c r="L1081" s="2190">
        <f>'Part VI-Revenues &amp; Expenses'!L241</f>
        <v>35000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500</v>
      </c>
      <c r="G1082" s="2190"/>
      <c r="I1082" s="1818" t="s">
        <v>139</v>
      </c>
      <c r="L1082" s="2190">
        <f>'Part VI-Revenues &amp; Expenses'!L242</f>
        <v>29960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Personal Property Taxes</v>
      </c>
      <c r="J1083" s="2194"/>
      <c r="K1083" s="2194"/>
      <c r="L1083" s="2190">
        <f>'Part VI-Revenues &amp; Expenses'!L243</f>
        <v>1500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6760</v>
      </c>
    </row>
    <row r="1084" spans="1:380" s="1818" customFormat="1" ht="15.6" customHeight="1">
      <c r="E1084" s="2192" t="s">
        <v>183</v>
      </c>
      <c r="F1084" s="2172">
        <f>SUM(F1076:G1083)</f>
        <v>36700</v>
      </c>
      <c r="G1084" s="2172"/>
      <c r="K1084" s="2192" t="s">
        <v>183</v>
      </c>
      <c r="L1084" s="2175">
        <f>SUM(L1080:L1083)</f>
        <v>66460</v>
      </c>
      <c r="M1084" s="2175"/>
      <c r="O1084" s="1818" t="s">
        <v>2092</v>
      </c>
      <c r="Q1084" s="2175">
        <f>Q1065+Q1071</f>
        <v>261988</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4053</v>
      </c>
      <c r="C1088" s="2192"/>
      <c r="H1088" s="2153"/>
      <c r="I1088" s="2202" t="s">
        <v>4054</v>
      </c>
      <c r="K1088" s="2183">
        <f>'Part VI-Revenues &amp; Expenses'!K248</f>
        <v>0</v>
      </c>
      <c r="L1088" s="2183"/>
      <c r="M1088" s="2106" t="s">
        <v>4090</v>
      </c>
      <c r="N1088" s="2123">
        <f>'Part VI-Revenues &amp; Expenses'!N248</f>
        <v>0</v>
      </c>
      <c r="O1088" s="1818" t="s">
        <v>4056</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4091</v>
      </c>
      <c r="C1090" s="2192"/>
      <c r="F1090" s="2153"/>
      <c r="G1090" s="2153"/>
      <c r="J1090" s="2111" t="str">
        <f>'Part VI-Revenues &amp; Expenses'!J250</f>
        <v>&lt;&lt;Select&gt;&gt;</v>
      </c>
      <c r="K1090" s="2202" t="s">
        <v>4093</v>
      </c>
      <c r="L1090" s="2111" t="str">
        <f>'Part VI-Revenues &amp; Expenses'!L250</f>
        <v>&lt;&lt;Select&gt;&gt;</v>
      </c>
      <c r="M1090" s="2109" t="s">
        <v>4094</v>
      </c>
      <c r="N1090" s="2123">
        <f>'Part VI-Revenues &amp; Expenses'!N250</f>
        <v>0</v>
      </c>
      <c r="O1090" s="1818" t="s">
        <v>4092</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6761</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4052</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Please see Tab 1, Item 02 of the Application for documenation of the Real Estate Taxes and Insurance estimates.</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2021-050 Sparrow Pointe, ,  County</v>
      </c>
      <c r="B1098" s="1925"/>
      <c r="C1098" s="1925"/>
      <c r="D1098" s="1925"/>
      <c r="E1098" s="1925"/>
      <c r="F1098" s="1925"/>
      <c r="G1098" s="1925"/>
      <c r="H1098" s="1925"/>
      <c r="I1098" s="1925"/>
      <c r="J1098" s="1925"/>
      <c r="K1098" s="1925"/>
      <c r="L1098" s="1818"/>
      <c r="M1098" s="1818"/>
      <c r="N1098" s="1818" t="str">
        <f>A1098</f>
        <v>PART SEVEN - OPERATING PRO FORMA  -  2021-050 Sparrow Pointe,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7044</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7118</v>
      </c>
      <c r="E1102" s="2159"/>
      <c r="F1102" s="2159"/>
      <c r="G1102" s="2205">
        <f>'Part VII-Pro Forma'!G6</f>
        <v>7500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t="str">
        <f>'Part VII-Pro Forma'!G9</f>
        <v>Yes</v>
      </c>
      <c r="H1105" s="2211" t="s">
        <v>1389</v>
      </c>
      <c r="K1105" s="2212">
        <f>'Part VII-Pro Forma'!K9</f>
        <v>24000</v>
      </c>
      <c r="N1105" s="2044"/>
      <c r="O1105" s="2044"/>
      <c r="Z1105" s="1925"/>
      <c r="AA1105" s="2052">
        <v>9</v>
      </c>
    </row>
    <row r="1106" spans="1:27" s="1853" customFormat="1">
      <c r="A1106" s="1853" t="s">
        <v>1367</v>
      </c>
      <c r="B1106" s="2204">
        <v>0.02</v>
      </c>
      <c r="D1106" s="1818" t="s">
        <v>1641</v>
      </c>
      <c r="G1106" s="2210" t="str">
        <f>'Part VII-Pro Forma'!G10</f>
        <v>No</v>
      </c>
      <c r="H1106" s="2211" t="s">
        <v>2251</v>
      </c>
      <c r="K1106" s="2213">
        <f>'Part VII-Pro Forma'!K10</f>
        <v>0</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348780</v>
      </c>
      <c r="C1111" s="2214">
        <f>'Part VII-Pro Forma'!C15</f>
        <v>355755.60000000003</v>
      </c>
      <c r="D1111" s="2214">
        <f>'Part VII-Pro Forma'!D15</f>
        <v>362870.712</v>
      </c>
      <c r="E1111" s="2214">
        <f>'Part VII-Pro Forma'!E15</f>
        <v>370128.12623999995</v>
      </c>
      <c r="F1111" s="2214">
        <f>'Part VII-Pro Forma'!F15</f>
        <v>377530.68876479997</v>
      </c>
      <c r="G1111" s="2214">
        <f>'Part VII-Pro Forma'!G15</f>
        <v>385081.30254009599</v>
      </c>
      <c r="H1111" s="2214">
        <f>'Part VII-Pro Forma'!H15</f>
        <v>392782.92859089794</v>
      </c>
      <c r="I1111" s="2214">
        <f>'Part VII-Pro Forma'!I15</f>
        <v>400638.58716271579</v>
      </c>
      <c r="J1111" s="2214">
        <f>'Part VII-Pro Forma'!J15</f>
        <v>408651.35890597018</v>
      </c>
      <c r="K1111" s="2214">
        <f>'Part VII-Pro Forma'!K15</f>
        <v>416824.38608408958</v>
      </c>
      <c r="N1111" s="2044"/>
      <c r="O1111" s="2044"/>
      <c r="S1111" s="2115" t="s">
        <v>3561</v>
      </c>
      <c r="Z1111" s="1925" t="s">
        <v>6772</v>
      </c>
      <c r="AA1111" s="2052">
        <v>15</v>
      </c>
    </row>
    <row r="1112" spans="1:27" s="1853" customFormat="1" ht="13.35" customHeight="1">
      <c r="A1112" s="1853" t="s">
        <v>977</v>
      </c>
      <c r="B1112" s="2214">
        <f>'Part VII-Pro Forma'!B16</f>
        <v>6975.6</v>
      </c>
      <c r="C1112" s="2214">
        <f>'Part VII-Pro Forma'!C16</f>
        <v>7115.1120000000001</v>
      </c>
      <c r="D1112" s="2214">
        <f>'Part VII-Pro Forma'!D16</f>
        <v>7257.4142400000001</v>
      </c>
      <c r="E1112" s="2214">
        <f>'Part VII-Pro Forma'!E16</f>
        <v>7402.5625247999997</v>
      </c>
      <c r="F1112" s="2214">
        <f>'Part VII-Pro Forma'!F16</f>
        <v>7550.6137752960003</v>
      </c>
      <c r="G1112" s="2214">
        <f>'Part VII-Pro Forma'!G16</f>
        <v>7701.6260508019204</v>
      </c>
      <c r="H1112" s="2214">
        <f>'Part VII-Pro Forma'!H16</f>
        <v>7855.6585718179595</v>
      </c>
      <c r="I1112" s="2214">
        <f>'Part VII-Pro Forma'!I16</f>
        <v>8012.7717432543168</v>
      </c>
      <c r="J1112" s="2214">
        <f>'Part VII-Pro Forma'!J16</f>
        <v>8173.0271781194042</v>
      </c>
      <c r="K1112" s="2214">
        <f>'Part VII-Pro Forma'!K16</f>
        <v>8336.4877216817913</v>
      </c>
      <c r="N1112" s="2044"/>
      <c r="O1112" s="2044"/>
      <c r="S1112" s="2115"/>
      <c r="Z1112" s="1925" t="s">
        <v>6772</v>
      </c>
      <c r="AA1112" s="2052">
        <v>16</v>
      </c>
    </row>
    <row r="1113" spans="1:27" s="1853" customFormat="1" ht="13.35" customHeight="1">
      <c r="A1113" s="1853" t="s">
        <v>2295</v>
      </c>
      <c r="B1113" s="2214">
        <f>'Part VII-Pro Forma'!B17</f>
        <v>-24902.892</v>
      </c>
      <c r="C1113" s="2214">
        <f>'Part VII-Pro Forma'!C17</f>
        <v>-25400.949840000005</v>
      </c>
      <c r="D1113" s="2214">
        <f>'Part VII-Pro Forma'!D17</f>
        <v>-25908.968836800002</v>
      </c>
      <c r="E1113" s="2214">
        <f>'Part VII-Pro Forma'!E17</f>
        <v>-26427.148213536002</v>
      </c>
      <c r="F1113" s="2214">
        <f>'Part VII-Pro Forma'!F17</f>
        <v>-26955.691177806722</v>
      </c>
      <c r="G1113" s="2214">
        <f>'Part VII-Pro Forma'!G17</f>
        <v>-27494.80500136286</v>
      </c>
      <c r="H1113" s="2214">
        <f>'Part VII-Pro Forma'!H17</f>
        <v>-28044.701101390117</v>
      </c>
      <c r="I1113" s="2214">
        <f>'Part VII-Pro Forma'!I17</f>
        <v>-28605.595123417912</v>
      </c>
      <c r="J1113" s="2214">
        <f>'Part VII-Pro Forma'!J17</f>
        <v>-29177.707025886273</v>
      </c>
      <c r="K1113" s="2214">
        <f>'Part VII-Pro Forma'!K17</f>
        <v>-29761.261166403998</v>
      </c>
      <c r="N1113" s="2044"/>
      <c r="O1113" s="2044"/>
      <c r="Q1113" s="2115" t="s">
        <v>3438</v>
      </c>
      <c r="R1113" s="2115" t="s">
        <v>3560</v>
      </c>
      <c r="S1113" s="2115"/>
      <c r="Z1113" s="1925" t="s">
        <v>6772</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6772</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6772</v>
      </c>
      <c r="AA1115" s="1930">
        <v>19</v>
      </c>
    </row>
    <row r="1116" spans="1:27" s="1853" customFormat="1" ht="13.35" customHeight="1">
      <c r="A1116" s="1853" t="s">
        <v>4014</v>
      </c>
      <c r="B1116" s="2214">
        <f>'Part VII-Pro Forma'!B20</f>
        <v>330852.70799999998</v>
      </c>
      <c r="C1116" s="2214">
        <f>'Part VII-Pro Forma'!C20</f>
        <v>337469.76216000004</v>
      </c>
      <c r="D1116" s="2214">
        <f>'Part VII-Pro Forma'!D20</f>
        <v>344219.15740319999</v>
      </c>
      <c r="E1116" s="2214">
        <f>'Part VII-Pro Forma'!E20</f>
        <v>351103.54055126396</v>
      </c>
      <c r="F1116" s="2214">
        <f>'Part VII-Pro Forma'!F20</f>
        <v>358125.61136228929</v>
      </c>
      <c r="G1116" s="2214">
        <f>'Part VII-Pro Forma'!G20</f>
        <v>365288.12358953507</v>
      </c>
      <c r="H1116" s="2214">
        <f>'Part VII-Pro Forma'!H20</f>
        <v>372593.88606132579</v>
      </c>
      <c r="I1116" s="2214">
        <f>'Part VII-Pro Forma'!I20</f>
        <v>380045.76378255221</v>
      </c>
      <c r="J1116" s="2214">
        <f>'Part VII-Pro Forma'!J20</f>
        <v>387646.6790582033</v>
      </c>
      <c r="K1116" s="2214">
        <f>'Part VII-Pro Forma'!K20</f>
        <v>395399.61263936735</v>
      </c>
      <c r="N1116" s="2044"/>
      <c r="O1116" s="2044"/>
      <c r="Z1116" s="1925" t="s">
        <v>6772</v>
      </c>
      <c r="AA1116" s="2052">
        <v>20</v>
      </c>
    </row>
    <row r="1117" spans="1:27" s="1853" customFormat="1" ht="13.35" customHeight="1">
      <c r="A1117" s="1853" t="s">
        <v>585</v>
      </c>
      <c r="B1117" s="2214">
        <f>'Part VII-Pro Forma'!B21</f>
        <v>-225488</v>
      </c>
      <c r="C1117" s="2214">
        <f>'Part VII-Pro Forma'!C21</f>
        <v>-232252.64</v>
      </c>
      <c r="D1117" s="2214">
        <f>'Part VII-Pro Forma'!D21</f>
        <v>-239220.21919999999</v>
      </c>
      <c r="E1117" s="2214">
        <f>'Part VII-Pro Forma'!E21</f>
        <v>-246396.82577600001</v>
      </c>
      <c r="F1117" s="2214">
        <f>'Part VII-Pro Forma'!F21</f>
        <v>-253788.73054927998</v>
      </c>
      <c r="G1117" s="2214">
        <f>'Part VII-Pro Forma'!G21</f>
        <v>-261402.39246575837</v>
      </c>
      <c r="H1117" s="2214">
        <f>'Part VII-Pro Forma'!H21</f>
        <v>-269244.46423973114</v>
      </c>
      <c r="I1117" s="2214">
        <f>'Part VII-Pro Forma'!I21</f>
        <v>-277321.79816692311</v>
      </c>
      <c r="J1117" s="2214">
        <f>'Part VII-Pro Forma'!J21</f>
        <v>-285641.45211193076</v>
      </c>
      <c r="K1117" s="2214">
        <f>'Part VII-Pro Forma'!K21</f>
        <v>-294210.69567528868</v>
      </c>
      <c r="N1117" s="2044"/>
      <c r="O1117" s="2044"/>
      <c r="Q1117" s="2052">
        <v>1</v>
      </c>
      <c r="R1117" s="2141">
        <f>-B1128</f>
        <v>1715</v>
      </c>
      <c r="S1117" s="2141">
        <f>B1129+R1117</f>
        <v>61364.707999999984</v>
      </c>
      <c r="Z1117" s="1925" t="s">
        <v>6772</v>
      </c>
      <c r="AA1117" s="2052">
        <v>21</v>
      </c>
    </row>
    <row r="1118" spans="1:27" s="1853" customFormat="1" ht="13.35" customHeight="1">
      <c r="A1118" s="1853" t="s">
        <v>1075</v>
      </c>
      <c r="B1118" s="2214">
        <f>'Part VII-Pro Forma'!B22</f>
        <v>-24000</v>
      </c>
      <c r="C1118" s="2214">
        <f>'Part VII-Pro Forma'!C22</f>
        <v>-24720</v>
      </c>
      <c r="D1118" s="2214">
        <f>'Part VII-Pro Forma'!D22</f>
        <v>-25462</v>
      </c>
      <c r="E1118" s="2214">
        <f>'Part VII-Pro Forma'!E22</f>
        <v>-26225</v>
      </c>
      <c r="F1118" s="2214">
        <f>'Part VII-Pro Forma'!F22</f>
        <v>-27012</v>
      </c>
      <c r="G1118" s="2214">
        <f>'Part VII-Pro Forma'!G22</f>
        <v>-27823</v>
      </c>
      <c r="H1118" s="2214">
        <f>'Part VII-Pro Forma'!H22</f>
        <v>-28657</v>
      </c>
      <c r="I1118" s="2214">
        <f>'Part VII-Pro Forma'!I22</f>
        <v>-29517</v>
      </c>
      <c r="J1118" s="2214">
        <f>'Part VII-Pro Forma'!J22</f>
        <v>-30402</v>
      </c>
      <c r="K1118" s="2214">
        <f>'Part VII-Pro Forma'!K22</f>
        <v>-31315</v>
      </c>
      <c r="N1118" s="2044"/>
      <c r="O1118" s="2044"/>
      <c r="Q1118" s="2052">
        <v>2</v>
      </c>
      <c r="R1118" s="2141">
        <f>-SUM(B1128:C1128)</f>
        <v>1715</v>
      </c>
      <c r="S1118" s="2141">
        <f>SUM(B1129:C1129)+R1118</f>
        <v>121486.83016000001</v>
      </c>
      <c r="Z1118" s="1925" t="s">
        <v>6772</v>
      </c>
      <c r="AA1118" s="2052">
        <v>22</v>
      </c>
    </row>
    <row r="1119" spans="1:27" s="1853" customFormat="1" ht="13.35" customHeight="1">
      <c r="A1119" s="1853" t="s">
        <v>1156</v>
      </c>
      <c r="B1119" s="2214">
        <f>'Part VII-Pro Forma'!B23</f>
        <v>-12500</v>
      </c>
      <c r="C1119" s="2214">
        <f>'Part VII-Pro Forma'!C23</f>
        <v>-12875</v>
      </c>
      <c r="D1119" s="2214">
        <f>'Part VII-Pro Forma'!D23</f>
        <v>-13261.25</v>
      </c>
      <c r="E1119" s="2214">
        <f>'Part VII-Pro Forma'!E23</f>
        <v>-13659.0875</v>
      </c>
      <c r="F1119" s="2214">
        <f>'Part VII-Pro Forma'!F23</f>
        <v>-14068.860124999999</v>
      </c>
      <c r="G1119" s="2214">
        <f>'Part VII-Pro Forma'!G23</f>
        <v>-14490.925928749997</v>
      </c>
      <c r="H1119" s="2214">
        <f>'Part VII-Pro Forma'!H23</f>
        <v>-14925.653706612498</v>
      </c>
      <c r="I1119" s="2214">
        <f>'Part VII-Pro Forma'!I23</f>
        <v>-15373.423317810875</v>
      </c>
      <c r="J1119" s="2214">
        <f>'Part VII-Pro Forma'!J23</f>
        <v>-15834.626017345199</v>
      </c>
      <c r="K1119" s="2214">
        <f>'Part VII-Pro Forma'!K23</f>
        <v>-16309.664797865556</v>
      </c>
      <c r="N1119" s="2044"/>
      <c r="O1119" s="2044"/>
      <c r="Q1119" s="2052">
        <v>3</v>
      </c>
      <c r="R1119" s="2141">
        <f>-SUM(B1128:D1128)</f>
        <v>1715</v>
      </c>
      <c r="S1119" s="2141">
        <f>SUM(B1129:D1129)+R1119</f>
        <v>180262.51836320001</v>
      </c>
      <c r="Z1119" s="1925" t="s">
        <v>6772</v>
      </c>
      <c r="AA1119" s="2052">
        <v>23</v>
      </c>
    </row>
    <row r="1120" spans="1:27" s="1853" customFormat="1" ht="13.35" customHeight="1">
      <c r="A1120" s="1853" t="s">
        <v>4013</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1715</v>
      </c>
      <c r="S1120" s="2141">
        <f>SUM(B1129:E1129)+R1120</f>
        <v>237585.14563846396</v>
      </c>
      <c r="Z1120" s="1925" t="s">
        <v>6772</v>
      </c>
      <c r="AA1120" s="1930">
        <v>24</v>
      </c>
    </row>
    <row r="1121" spans="1:27" s="1853" customFormat="1" ht="13.35" customHeight="1">
      <c r="A1121" s="1853" t="s">
        <v>1157</v>
      </c>
      <c r="B1121" s="2214">
        <f>'Part VII-Pro Forma'!B25</f>
        <v>68864.707999999984</v>
      </c>
      <c r="C1121" s="2214">
        <f>'Part VII-Pro Forma'!C25</f>
        <v>67622.122160000028</v>
      </c>
      <c r="D1121" s="2214">
        <f>'Part VII-Pro Forma'!D25</f>
        <v>66275.688203199999</v>
      </c>
      <c r="E1121" s="2214">
        <f>'Part VII-Pro Forma'!E25</f>
        <v>64822.627275263942</v>
      </c>
      <c r="F1121" s="2214">
        <f>'Part VII-Pro Forma'!F25</f>
        <v>63256.02068800931</v>
      </c>
      <c r="G1121" s="2214">
        <f>'Part VII-Pro Forma'!G25</f>
        <v>61571.805195026704</v>
      </c>
      <c r="H1121" s="2214">
        <f>'Part VII-Pro Forma'!H25</f>
        <v>59766.768114982144</v>
      </c>
      <c r="I1121" s="2214">
        <f>'Part VII-Pro Forma'!I25</f>
        <v>57833.542297818225</v>
      </c>
      <c r="J1121" s="2214">
        <f>'Part VII-Pro Forma'!J25</f>
        <v>55768.600928927335</v>
      </c>
      <c r="K1121" s="2214">
        <f>'Part VII-Pro Forma'!K25</f>
        <v>53564.252166213118</v>
      </c>
      <c r="N1121" s="2044"/>
      <c r="O1121" s="2044"/>
      <c r="Q1121" s="2052">
        <v>5</v>
      </c>
      <c r="R1121" s="2141">
        <f>-SUM(B1128:F1128)</f>
        <v>1715</v>
      </c>
      <c r="S1121" s="2141">
        <f>SUM(B1129:F1129)+R1121</f>
        <v>293341.16632647329</v>
      </c>
      <c r="Z1121" s="1925" t="s">
        <v>6772</v>
      </c>
      <c r="AA1121" s="2052">
        <v>25</v>
      </c>
    </row>
    <row r="1122" spans="1:27" s="1853" customFormat="1" ht="13.35" customHeight="1">
      <c r="A1122" s="1853" t="s">
        <v>1525</v>
      </c>
      <c r="B1122" s="2215">
        <f>'Part VII-Pro Forma'!B26</f>
        <v>0</v>
      </c>
      <c r="C1122" s="2215">
        <f>'Part VII-Pro Forma'!C26</f>
        <v>0</v>
      </c>
      <c r="D1122" s="2215">
        <f>'Part VII-Pro Forma'!D26</f>
        <v>0</v>
      </c>
      <c r="E1122" s="2215">
        <f>'Part VII-Pro Forma'!E26</f>
        <v>0</v>
      </c>
      <c r="F1122" s="2215">
        <f>'Part VII-Pro Forma'!F26</f>
        <v>0</v>
      </c>
      <c r="G1122" s="2215">
        <f>'Part VII-Pro Forma'!G26</f>
        <v>0</v>
      </c>
      <c r="H1122" s="2215">
        <f>'Part VII-Pro Forma'!H26</f>
        <v>0</v>
      </c>
      <c r="I1122" s="2215">
        <f>'Part VII-Pro Forma'!I26</f>
        <v>0</v>
      </c>
      <c r="J1122" s="2215">
        <f>'Part VII-Pro Forma'!J26</f>
        <v>0</v>
      </c>
      <c r="K1122" s="2215">
        <f>'Part VII-Pro Forma'!K26</f>
        <v>0</v>
      </c>
      <c r="N1122" s="2044"/>
      <c r="O1122" s="2044"/>
      <c r="Q1122" s="2052">
        <v>6</v>
      </c>
      <c r="R1122" s="2141">
        <f>-SUM(B1128:G1128)</f>
        <v>1715</v>
      </c>
      <c r="S1122" s="2141">
        <f>SUM(B1129:G1129)+R1122</f>
        <v>347412.97152149997</v>
      </c>
      <c r="Z1122" s="1925" t="s">
        <v>6772</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1715</v>
      </c>
      <c r="S1123" s="2141">
        <f>SUM(B1129:H1129)+R1123</f>
        <v>399679.73963648209</v>
      </c>
      <c r="Z1123" s="1925" t="s">
        <v>6772</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1715</v>
      </c>
      <c r="S1124" s="2141">
        <f>SUM(B1129:I1129)+R1124</f>
        <v>450013.28193430032</v>
      </c>
      <c r="Z1124" s="1925" t="s">
        <v>6772</v>
      </c>
      <c r="AA1124" s="2052">
        <v>28</v>
      </c>
    </row>
    <row r="1125" spans="1:27" s="1853" customFormat="1" ht="13.35" customHeight="1">
      <c r="A1125" s="1853" t="s">
        <v>3421</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1715</v>
      </c>
      <c r="S1125" s="2141">
        <f>SUM(B1129:J1129)+R1125</f>
        <v>498281.88286322763</v>
      </c>
      <c r="Z1125" s="1925" t="s">
        <v>6772</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1715</v>
      </c>
      <c r="S1126" s="2141">
        <f>SUM(B1129:K1129)+R1126</f>
        <v>544346.13502944075</v>
      </c>
      <c r="Z1126" s="1925" t="s">
        <v>6772</v>
      </c>
      <c r="AA1126" s="2052">
        <v>30</v>
      </c>
    </row>
    <row r="1127" spans="1:27" s="1853" customFormat="1" ht="13.35" customHeight="1">
      <c r="A1127" s="1853" t="s">
        <v>1121</v>
      </c>
      <c r="B1127" s="2215">
        <f>'Part VII-Pro Forma'!B31</f>
        <v>-7500</v>
      </c>
      <c r="C1127" s="2215">
        <f>'Part VII-Pro Forma'!C31</f>
        <v>-7500</v>
      </c>
      <c r="D1127" s="2215">
        <f>'Part VII-Pro Forma'!D31</f>
        <v>-7500</v>
      </c>
      <c r="E1127" s="2215">
        <f>'Part VII-Pro Forma'!E31</f>
        <v>-7500</v>
      </c>
      <c r="F1127" s="2215">
        <f>'Part VII-Pro Forma'!F31</f>
        <v>-7500</v>
      </c>
      <c r="G1127" s="2215">
        <f>'Part VII-Pro Forma'!G31</f>
        <v>-7500</v>
      </c>
      <c r="H1127" s="2215">
        <f>'Part VII-Pro Forma'!H31</f>
        <v>-7500</v>
      </c>
      <c r="I1127" s="2215">
        <f>'Part VII-Pro Forma'!I31</f>
        <v>-7500</v>
      </c>
      <c r="J1127" s="2215">
        <f>'Part VII-Pro Forma'!J31</f>
        <v>-7500</v>
      </c>
      <c r="K1127" s="2215">
        <f>'Part VII-Pro Forma'!K31</f>
        <v>-7500</v>
      </c>
      <c r="N1127" s="2044"/>
      <c r="O1127" s="2044"/>
      <c r="Q1127" s="2052">
        <v>11</v>
      </c>
      <c r="R1127" s="2141">
        <f>-SUM(B1128:K1128)-B1160</f>
        <v>1715</v>
      </c>
      <c r="S1127" s="2141">
        <f>SUM(B1129:K1129)+B1161+R1127</f>
        <v>588063.76863424666</v>
      </c>
      <c r="Z1127" s="1925" t="s">
        <v>6772</v>
      </c>
      <c r="AA1127" s="2052">
        <v>31</v>
      </c>
    </row>
    <row r="1128" spans="1:27" s="1853" customFormat="1" ht="13.35" customHeight="1">
      <c r="A1128" s="1853" t="s">
        <v>3509</v>
      </c>
      <c r="B1128" s="2215">
        <f>'Part VII-Pro Forma'!B32</f>
        <v>-1715</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1715</v>
      </c>
      <c r="S1128" s="2141">
        <f>SUM(B1129:K1129) + SUM(B1161:C1161)+R1128</f>
        <v>629284.47519827506</v>
      </c>
      <c r="Z1128" s="1925" t="s">
        <v>6772</v>
      </c>
      <c r="AA1128" s="2052">
        <v>32</v>
      </c>
    </row>
    <row r="1129" spans="1:27" s="1853" customFormat="1" ht="13.35" customHeight="1">
      <c r="A1129" s="1853" t="s">
        <v>1122</v>
      </c>
      <c r="B1129" s="2214">
        <f>'Part VII-Pro Forma'!B33</f>
        <v>59649.707999999984</v>
      </c>
      <c r="C1129" s="2214">
        <f>'Part VII-Pro Forma'!C33</f>
        <v>60122.122160000028</v>
      </c>
      <c r="D1129" s="2214">
        <f>'Part VII-Pro Forma'!D33</f>
        <v>58775.688203199999</v>
      </c>
      <c r="E1129" s="2214">
        <f>'Part VII-Pro Forma'!E33</f>
        <v>57322.627275263942</v>
      </c>
      <c r="F1129" s="2214">
        <f>'Part VII-Pro Forma'!F33</f>
        <v>55756.02068800931</v>
      </c>
      <c r="G1129" s="2214">
        <f>'Part VII-Pro Forma'!G33</f>
        <v>54071.805195026704</v>
      </c>
      <c r="H1129" s="2214">
        <f>'Part VII-Pro Forma'!H33</f>
        <v>52266.768114982144</v>
      </c>
      <c r="I1129" s="2214">
        <f>'Part VII-Pro Forma'!I33</f>
        <v>50333.542297818225</v>
      </c>
      <c r="J1129" s="2214">
        <f>'Part VII-Pro Forma'!J33</f>
        <v>48268.600928927335</v>
      </c>
      <c r="K1129" s="2214">
        <f>'Part VII-Pro Forma'!K33</f>
        <v>46064.252166213118</v>
      </c>
      <c r="N1129" s="2044"/>
      <c r="O1129" s="2044"/>
      <c r="Q1129" s="2052">
        <v>13</v>
      </c>
      <c r="R1129" s="2141">
        <f>-SUM(B1128:K1128) - SUM(B1160:D1160)</f>
        <v>1715</v>
      </c>
      <c r="S1129" s="2141">
        <f>SUM(B1129:K1129) + SUM(B1161:D1161)+R1129</f>
        <v>667853.72538932448</v>
      </c>
      <c r="Z1129" s="1925" t="s">
        <v>6772</v>
      </c>
      <c r="AA1129" s="1930">
        <v>33</v>
      </c>
    </row>
    <row r="1130" spans="1:27" s="1853" customFormat="1" ht="13.35" customHeight="1">
      <c r="A1130" s="1853" t="str">
        <f>IF('Part III-Sources of Funds'!$E$40 = "Neither", "", "DCR Mortgage A")</f>
        <v>DCR Mortgage A</v>
      </c>
      <c r="B1130" s="2216" t="str">
        <f>'Part VII-Pro Forma'!B34</f>
        <v/>
      </c>
      <c r="C1130" s="2216" t="str">
        <f>'Part VII-Pro Forma'!C34</f>
        <v/>
      </c>
      <c r="D1130" s="2216" t="str">
        <f>'Part VII-Pro Forma'!D34</f>
        <v/>
      </c>
      <c r="E1130" s="2216" t="str">
        <f>'Part VII-Pro Forma'!E34</f>
        <v/>
      </c>
      <c r="F1130" s="2216" t="str">
        <f>'Part VII-Pro Forma'!F34</f>
        <v/>
      </c>
      <c r="G1130" s="2216" t="str">
        <f>'Part VII-Pro Forma'!G34</f>
        <v/>
      </c>
      <c r="H1130" s="2216" t="str">
        <f>'Part VII-Pro Forma'!H34</f>
        <v/>
      </c>
      <c r="I1130" s="2216" t="str">
        <f>'Part VII-Pro Forma'!I34</f>
        <v/>
      </c>
      <c r="J1130" s="2216" t="str">
        <f>'Part VII-Pro Forma'!J34</f>
        <v/>
      </c>
      <c r="K1130" s="2216" t="str">
        <f>'Part VII-Pro Forma'!K34</f>
        <v/>
      </c>
      <c r="N1130" s="2044"/>
      <c r="O1130" s="2044"/>
      <c r="Q1130" s="2052">
        <v>14</v>
      </c>
      <c r="R1130" s="2141">
        <f>-SUM(B1128:K1128) - SUM(B1160:E1160)</f>
        <v>1715</v>
      </c>
      <c r="S1130" s="2141">
        <f>SUM(B1129:K1129) + SUM(B1161:E1161)+R1130</f>
        <v>703608.5807648073</v>
      </c>
      <c r="Z1130" s="1925" t="s">
        <v>6772</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1715</v>
      </c>
      <c r="S1131" s="2141">
        <f>SUM(B1129:K1129) + SUM(B1161:F1161)+R1131</f>
        <v>736381.49923383084</v>
      </c>
      <c r="Z1131" s="1925" t="s">
        <v>6772</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1715</v>
      </c>
      <c r="S1132" s="2141">
        <f>SUM(B1129:K1129) + SUM(B1161:G1161)+R1132</f>
        <v>765997.13403784647</v>
      </c>
      <c r="Z1132" s="1925" t="s">
        <v>6772</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1715</v>
      </c>
      <c r="S1133" s="2141">
        <f>SUM(B1129:K1129) + SUM(B1161:H1161)+R1133</f>
        <v>792273.12604252272</v>
      </c>
      <c r="Z1133" s="1925" t="s">
        <v>6772</v>
      </c>
      <c r="AA1133" s="2052">
        <v>37</v>
      </c>
    </row>
    <row r="1134" spans="1:27" s="1853" customFormat="1" ht="13.35" customHeight="1">
      <c r="A1134" s="1853" t="s">
        <v>3344</v>
      </c>
      <c r="B1134" s="2216" t="str">
        <f>'Part VII-Pro Forma'!B38</f>
        <v/>
      </c>
      <c r="C1134" s="2216" t="str">
        <f>'Part VII-Pro Forma'!C38</f>
        <v/>
      </c>
      <c r="D1134" s="2216" t="str">
        <f>'Part VII-Pro Forma'!D38</f>
        <v/>
      </c>
      <c r="E1134" s="2216" t="str">
        <f>'Part VII-Pro Forma'!E38</f>
        <v/>
      </c>
      <c r="F1134" s="2216" t="str">
        <f>'Part VII-Pro Forma'!F38</f>
        <v/>
      </c>
      <c r="G1134" s="2216" t="str">
        <f>'Part VII-Pro Forma'!G38</f>
        <v/>
      </c>
      <c r="H1134" s="2216" t="str">
        <f>'Part VII-Pro Forma'!H38</f>
        <v/>
      </c>
      <c r="I1134" s="2216" t="str">
        <f>'Part VII-Pro Forma'!I38</f>
        <v/>
      </c>
      <c r="J1134" s="2216" t="str">
        <f>'Part VII-Pro Forma'!J38</f>
        <v/>
      </c>
      <c r="K1134" s="2216" t="str">
        <f>'Part VII-Pro Forma'!K38</f>
        <v/>
      </c>
      <c r="N1134" s="2044"/>
      <c r="O1134" s="2044"/>
      <c r="Q1134" s="2052">
        <v>18</v>
      </c>
      <c r="R1134" s="2141">
        <f>-SUM(B1128:K1128) - SUM(B1160:I1160)</f>
        <v>1715</v>
      </c>
      <c r="S1134" s="2141">
        <f>SUM(B1129:K1129) + SUM(B1161:I1161)+R1134</f>
        <v>815020.88912701001</v>
      </c>
      <c r="Z1134" s="1925" t="s">
        <v>6772</v>
      </c>
      <c r="AA1134" s="2052">
        <v>38</v>
      </c>
    </row>
    <row r="1135" spans="1:27" s="1853" customFormat="1" ht="13.35" customHeight="1">
      <c r="A1135" s="1853" t="s">
        <v>740</v>
      </c>
      <c r="B1135" s="2216">
        <f>'Part VII-Pro Forma'!B39</f>
        <v>1.2628544360810419</v>
      </c>
      <c r="C1135" s="2216">
        <f>'Part VII-Pro Forma'!C39</f>
        <v>1.2505937134006435</v>
      </c>
      <c r="D1135" s="2216">
        <f>'Part VII-Pro Forma'!D39</f>
        <v>1.2384502445549816</v>
      </c>
      <c r="E1135" s="2216">
        <f>'Part VII-Pro Forma'!E39</f>
        <v>1.22643014000996</v>
      </c>
      <c r="F1135" s="2216">
        <f>'Part VII-Pro Forma'!F39</f>
        <v>1.2145220215599766</v>
      </c>
      <c r="G1135" s="2216">
        <f>'Part VII-Pro Forma'!G39</f>
        <v>1.2027280111931582</v>
      </c>
      <c r="H1135" s="2216">
        <f>'Part VII-Pro Forma'!H39</f>
        <v>1.191053667301418</v>
      </c>
      <c r="I1135" s="2216">
        <f>'Part VII-Pro Forma'!I39</f>
        <v>1.1794889778895563</v>
      </c>
      <c r="J1135" s="2216">
        <f>'Part VII-Pro Forma'!J39</f>
        <v>1.1680394235234901</v>
      </c>
      <c r="K1135" s="2216">
        <f>'Part VII-Pro Forma'!K39</f>
        <v>1.1566960541825506</v>
      </c>
      <c r="N1135" s="2044"/>
      <c r="O1135" s="2044"/>
      <c r="Q1135" s="2052">
        <v>19</v>
      </c>
      <c r="R1135" s="2141">
        <f>-SUM(B1128:K1128) - SUM(B1160:J1160)</f>
        <v>1715</v>
      </c>
      <c r="S1135" s="2141">
        <f>SUM(B1129:K1129) + SUM(B1161:J1161)+R1135</f>
        <v>834043.38845009624</v>
      </c>
      <c r="Z1135" s="1925" t="s">
        <v>6772</v>
      </c>
      <c r="AA1135" s="2052">
        <v>39</v>
      </c>
    </row>
    <row r="1136" spans="1:27" s="1853" customFormat="1" ht="13.35" customHeight="1">
      <c r="A1136" s="1853" t="s">
        <v>2493</v>
      </c>
      <c r="B1136" s="2215" t="str">
        <f>'Part VII-Pro Forma'!B40</f>
        <v/>
      </c>
      <c r="C1136" s="2215" t="str">
        <f>'Part VII-Pro Forma'!C40</f>
        <v/>
      </c>
      <c r="D1136" s="2215" t="str">
        <f>'Part VII-Pro Forma'!D40</f>
        <v/>
      </c>
      <c r="E1136" s="2215" t="str">
        <f>'Part VII-Pro Forma'!E40</f>
        <v/>
      </c>
      <c r="F1136" s="2215" t="str">
        <f>'Part VII-Pro Forma'!F40</f>
        <v/>
      </c>
      <c r="G1136" s="2215" t="str">
        <f>'Part VII-Pro Forma'!G40</f>
        <v/>
      </c>
      <c r="H1136" s="2215" t="str">
        <f>'Part VII-Pro Forma'!H40</f>
        <v/>
      </c>
      <c r="I1136" s="2215" t="str">
        <f>'Part VII-Pro Forma'!I40</f>
        <v/>
      </c>
      <c r="J1136" s="2215" t="str">
        <f>'Part VII-Pro Forma'!J40</f>
        <v/>
      </c>
      <c r="K1136" s="2215" t="str">
        <f>'Part VII-Pro Forma'!K40</f>
        <v/>
      </c>
      <c r="N1136" s="2044"/>
      <c r="O1136" s="2044"/>
      <c r="Q1136" s="2052">
        <v>20</v>
      </c>
      <c r="R1136" s="2141">
        <f>-SUM(B1128:K1128) - SUM(B1160:K1160)</f>
        <v>1715</v>
      </c>
      <c r="S1136" s="2141">
        <f>SUM(B1129:K1129) + SUM(B1161:K1161)+R1136</f>
        <v>849135.91136586049</v>
      </c>
      <c r="Z1136" s="1925" t="s">
        <v>6772</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6772</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6772</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6772</v>
      </c>
      <c r="AA1139" s="2052">
        <v>43</v>
      </c>
    </row>
    <row r="1140" spans="1:27" s="1853" customFormat="1" ht="13.35" customHeight="1">
      <c r="A1140" s="1853" t="s">
        <v>3510</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6772</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425160.87380577141</v>
      </c>
      <c r="C1143" s="2214">
        <f>'Part VII-Pro Forma'!C47</f>
        <v>433664.09128188674</v>
      </c>
      <c r="D1143" s="2214">
        <f>'Part VII-Pro Forma'!D47</f>
        <v>442337.37310752453</v>
      </c>
      <c r="E1143" s="2214">
        <f>'Part VII-Pro Forma'!E47</f>
        <v>451184.120569675</v>
      </c>
      <c r="F1143" s="2214">
        <f>'Part VII-Pro Forma'!F47</f>
        <v>460207.80298106855</v>
      </c>
      <c r="G1143" s="2214">
        <f>'Part VII-Pro Forma'!G47</f>
        <v>469411.95904068981</v>
      </c>
      <c r="H1143" s="2214">
        <f>'Part VII-Pro Forma'!H47</f>
        <v>478800.19822150364</v>
      </c>
      <c r="I1143" s="2214">
        <f>'Part VII-Pro Forma'!I47</f>
        <v>488376.20218593377</v>
      </c>
      <c r="J1143" s="2214">
        <f>'Part VII-Pro Forma'!J47</f>
        <v>498143.72622965241</v>
      </c>
      <c r="K1143" s="2214">
        <f>'Part VII-Pro Forma'!K47</f>
        <v>508106.60075424542</v>
      </c>
      <c r="N1143" s="2044"/>
      <c r="O1143" s="2044"/>
      <c r="Z1143" s="1925" t="s">
        <v>6773</v>
      </c>
      <c r="AA1143" s="1930">
        <v>47</v>
      </c>
    </row>
    <row r="1144" spans="1:27" s="1853" customFormat="1" ht="13.35" customHeight="1">
      <c r="A1144" s="1853" t="s">
        <v>977</v>
      </c>
      <c r="B1144" s="2214">
        <f>'Part VII-Pro Forma'!B48</f>
        <v>8503.2174761154274</v>
      </c>
      <c r="C1144" s="2214">
        <f>'Part VII-Pro Forma'!C48</f>
        <v>8673.2818256377359</v>
      </c>
      <c r="D1144" s="2214">
        <f>'Part VII-Pro Forma'!D48</f>
        <v>8846.7474621504916</v>
      </c>
      <c r="E1144" s="2214">
        <f>'Part VII-Pro Forma'!E48</f>
        <v>9023.6824113934999</v>
      </c>
      <c r="F1144" s="2214">
        <f>'Part VII-Pro Forma'!F48</f>
        <v>9204.1560596213712</v>
      </c>
      <c r="G1144" s="2214">
        <f>'Part VII-Pro Forma'!G48</f>
        <v>9388.2391808137963</v>
      </c>
      <c r="H1144" s="2214">
        <f>'Part VII-Pro Forma'!H48</f>
        <v>9576.0039644300741</v>
      </c>
      <c r="I1144" s="2214">
        <f>'Part VII-Pro Forma'!I48</f>
        <v>9767.5240437186767</v>
      </c>
      <c r="J1144" s="2214">
        <f>'Part VII-Pro Forma'!J48</f>
        <v>9962.8745245930477</v>
      </c>
      <c r="K1144" s="2214">
        <f>'Part VII-Pro Forma'!K48</f>
        <v>10162.13201508491</v>
      </c>
      <c r="N1144" s="2044"/>
      <c r="O1144" s="2044"/>
      <c r="Z1144" s="1925" t="s">
        <v>6773</v>
      </c>
      <c r="AA1144" s="2052">
        <v>48</v>
      </c>
    </row>
    <row r="1145" spans="1:27" s="1853" customFormat="1" ht="13.35" customHeight="1">
      <c r="A1145" s="1853" t="s">
        <v>2295</v>
      </c>
      <c r="B1145" s="2214">
        <f>'Part VII-Pro Forma'!B49</f>
        <v>-30356.486389732083</v>
      </c>
      <c r="C1145" s="2214">
        <f>'Part VII-Pro Forma'!C49</f>
        <v>-30963.616117526715</v>
      </c>
      <c r="D1145" s="2214">
        <f>'Part VII-Pro Forma'!D49</f>
        <v>-31582.888439877253</v>
      </c>
      <c r="E1145" s="2214">
        <f>'Part VII-Pro Forma'!E49</f>
        <v>-32214.546208674798</v>
      </c>
      <c r="F1145" s="2214">
        <f>'Part VII-Pro Forma'!F49</f>
        <v>-32858.837132848297</v>
      </c>
      <c r="G1145" s="2214">
        <f>'Part VII-Pro Forma'!G49</f>
        <v>-33516.013875505254</v>
      </c>
      <c r="H1145" s="2214">
        <f>'Part VII-Pro Forma'!H49</f>
        <v>-34186.334153015363</v>
      </c>
      <c r="I1145" s="2214">
        <f>'Part VII-Pro Forma'!I49</f>
        <v>-34870.060836075674</v>
      </c>
      <c r="J1145" s="2214">
        <f>'Part VII-Pro Forma'!J49</f>
        <v>-35567.462052797186</v>
      </c>
      <c r="K1145" s="2214">
        <f>'Part VII-Pro Forma'!K49</f>
        <v>-36278.811293853127</v>
      </c>
      <c r="N1145" s="2044"/>
      <c r="O1145" s="2044"/>
      <c r="Z1145" s="1925" t="s">
        <v>6773</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6773</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6773</v>
      </c>
      <c r="AA1147" s="2052">
        <v>51</v>
      </c>
    </row>
    <row r="1148" spans="1:27" s="1853" customFormat="1" ht="13.35" customHeight="1">
      <c r="A1148" s="1853" t="s">
        <v>4014</v>
      </c>
      <c r="B1148" s="2214">
        <f>'Part VII-Pro Forma'!B52</f>
        <v>403307.60489215475</v>
      </c>
      <c r="C1148" s="2214">
        <f>'Part VII-Pro Forma'!C52</f>
        <v>411373.75698999775</v>
      </c>
      <c r="D1148" s="2214">
        <f>'Part VII-Pro Forma'!D52</f>
        <v>419601.23212979775</v>
      </c>
      <c r="E1148" s="2214">
        <f>'Part VII-Pro Forma'!E52</f>
        <v>427993.25677239371</v>
      </c>
      <c r="F1148" s="2214">
        <f>'Part VII-Pro Forma'!F52</f>
        <v>436553.12190784165</v>
      </c>
      <c r="G1148" s="2214">
        <f>'Part VII-Pro Forma'!G52</f>
        <v>445284.18434599834</v>
      </c>
      <c r="H1148" s="2214">
        <f>'Part VII-Pro Forma'!H52</f>
        <v>454189.86803291837</v>
      </c>
      <c r="I1148" s="2214">
        <f>'Part VII-Pro Forma'!I52</f>
        <v>463273.66539357678</v>
      </c>
      <c r="J1148" s="2214">
        <f>'Part VII-Pro Forma'!J52</f>
        <v>472539.13870144828</v>
      </c>
      <c r="K1148" s="2214">
        <f>'Part VII-Pro Forma'!K52</f>
        <v>481989.92147547717</v>
      </c>
      <c r="N1148" s="2044"/>
      <c r="O1148" s="2044"/>
      <c r="Z1148" s="1925" t="s">
        <v>6773</v>
      </c>
      <c r="AA1148" s="2052">
        <v>52</v>
      </c>
    </row>
    <row r="1149" spans="1:27" s="1853" customFormat="1" ht="13.35" customHeight="1">
      <c r="A1149" s="1853" t="s">
        <v>585</v>
      </c>
      <c r="B1149" s="2214">
        <f>'Part VII-Pro Forma'!B53</f>
        <v>-303037.01654554735</v>
      </c>
      <c r="C1149" s="2214">
        <f>'Part VII-Pro Forma'!C53</f>
        <v>-312128.12704191374</v>
      </c>
      <c r="D1149" s="2214">
        <f>'Part VII-Pro Forma'!D53</f>
        <v>-321491.97085317114</v>
      </c>
      <c r="E1149" s="2214">
        <f>'Part VII-Pro Forma'!E53</f>
        <v>-331136.72997876623</v>
      </c>
      <c r="F1149" s="2214">
        <f>'Part VII-Pro Forma'!F53</f>
        <v>-341070.83187812928</v>
      </c>
      <c r="G1149" s="2214">
        <f>'Part VII-Pro Forma'!G53</f>
        <v>-351302.95683447318</v>
      </c>
      <c r="H1149" s="2214">
        <f>'Part VII-Pro Forma'!H53</f>
        <v>-361842.04553950729</v>
      </c>
      <c r="I1149" s="2214">
        <f>'Part VII-Pro Forma'!I53</f>
        <v>-372697.3069056925</v>
      </c>
      <c r="J1149" s="2214">
        <f>'Part VII-Pro Forma'!J53</f>
        <v>-383878.22611286328</v>
      </c>
      <c r="K1149" s="2214">
        <f>'Part VII-Pro Forma'!K53</f>
        <v>-395394.57289624918</v>
      </c>
      <c r="N1149" s="2044"/>
      <c r="O1149" s="2044"/>
      <c r="Z1149" s="1925" t="s">
        <v>6773</v>
      </c>
      <c r="AA1149" s="2052">
        <v>53</v>
      </c>
    </row>
    <row r="1150" spans="1:27" s="1853" customFormat="1" ht="13.35" customHeight="1">
      <c r="A1150" s="1853" t="s">
        <v>1075</v>
      </c>
      <c r="B1150" s="2214">
        <f>'Part VII-Pro Forma'!B54</f>
        <v>-32254</v>
      </c>
      <c r="C1150" s="2214">
        <f>'Part VII-Pro Forma'!C54</f>
        <v>-33222</v>
      </c>
      <c r="D1150" s="2214">
        <f>'Part VII-Pro Forma'!D54</f>
        <v>-34218</v>
      </c>
      <c r="E1150" s="2214">
        <f>'Part VII-Pro Forma'!E54</f>
        <v>-35245</v>
      </c>
      <c r="F1150" s="2214">
        <f>'Part VII-Pro Forma'!F54</f>
        <v>-36302</v>
      </c>
      <c r="G1150" s="2214">
        <f>'Part VII-Pro Forma'!G54</f>
        <v>-37391</v>
      </c>
      <c r="H1150" s="2214">
        <f>'Part VII-Pro Forma'!H54</f>
        <v>-38513</v>
      </c>
      <c r="I1150" s="2214">
        <f>'Part VII-Pro Forma'!I54</f>
        <v>-39668</v>
      </c>
      <c r="J1150" s="2214">
        <f>'Part VII-Pro Forma'!J54</f>
        <v>-40858</v>
      </c>
      <c r="K1150" s="2214">
        <f>'Part VII-Pro Forma'!K54</f>
        <v>-42084</v>
      </c>
      <c r="N1150" s="2044"/>
      <c r="O1150" s="2044"/>
      <c r="Z1150" s="1925" t="s">
        <v>6773</v>
      </c>
      <c r="AA1150" s="2052">
        <v>54</v>
      </c>
    </row>
    <row r="1151" spans="1:27" s="1853" customFormat="1" ht="13.35" customHeight="1">
      <c r="A1151" s="1853" t="s">
        <v>1156</v>
      </c>
      <c r="B1151" s="2214">
        <f>'Part VII-Pro Forma'!B55</f>
        <v>-16798.954741801521</v>
      </c>
      <c r="C1151" s="2214">
        <f>'Part VII-Pro Forma'!C55</f>
        <v>-17302.923384055568</v>
      </c>
      <c r="D1151" s="2214">
        <f>'Part VII-Pro Forma'!D55</f>
        <v>-17822.011085577233</v>
      </c>
      <c r="E1151" s="2214">
        <f>'Part VII-Pro Forma'!E55</f>
        <v>-18356.67141814455</v>
      </c>
      <c r="F1151" s="2214">
        <f>'Part VII-Pro Forma'!F55</f>
        <v>-18907.371560688887</v>
      </c>
      <c r="G1151" s="2214">
        <f>'Part VII-Pro Forma'!G55</f>
        <v>-19474.592707509557</v>
      </c>
      <c r="H1151" s="2214">
        <f>'Part VII-Pro Forma'!H55</f>
        <v>-20058.830488734839</v>
      </c>
      <c r="I1151" s="2214">
        <f>'Part VII-Pro Forma'!I55</f>
        <v>-20660.595403396885</v>
      </c>
      <c r="J1151" s="2214">
        <f>'Part VII-Pro Forma'!J55</f>
        <v>-21280.413265498792</v>
      </c>
      <c r="K1151" s="2214">
        <f>'Part VII-Pro Forma'!K55</f>
        <v>-21918.825663463755</v>
      </c>
      <c r="N1151" s="2044"/>
      <c r="O1151" s="2044"/>
      <c r="Q1151" s="2052">
        <v>10</v>
      </c>
      <c r="R1151" s="2141">
        <f>-SUM(B1157:K1157)</f>
        <v>0</v>
      </c>
      <c r="S1151" s="2141">
        <f>SUM(B1158:K1158)+R1151</f>
        <v>0</v>
      </c>
      <c r="Z1151" s="1925" t="s">
        <v>6773</v>
      </c>
      <c r="AA1151" s="2052">
        <v>55</v>
      </c>
    </row>
    <row r="1152" spans="1:27" s="1853" customFormat="1" ht="13.35" customHeight="1">
      <c r="A1152" s="1853" t="s">
        <v>4013</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6773</v>
      </c>
      <c r="AA1152" s="2052">
        <v>56</v>
      </c>
    </row>
    <row r="1153" spans="1:27" s="1853" customFormat="1" ht="13.35" customHeight="1">
      <c r="A1153" s="1853" t="s">
        <v>1157</v>
      </c>
      <c r="B1153" s="2214">
        <f>'Part VII-Pro Forma'!B57</f>
        <v>51217.63360480588</v>
      </c>
      <c r="C1153" s="2214">
        <f>'Part VII-Pro Forma'!C57</f>
        <v>48720.706564028442</v>
      </c>
      <c r="D1153" s="2214">
        <f>'Part VII-Pro Forma'!D57</f>
        <v>46069.250191049374</v>
      </c>
      <c r="E1153" s="2214">
        <f>'Part VII-Pro Forma'!E57</f>
        <v>43254.855375482926</v>
      </c>
      <c r="F1153" s="2214">
        <f>'Part VII-Pro Forma'!F57</f>
        <v>40272.918469023483</v>
      </c>
      <c r="G1153" s="2214">
        <f>'Part VII-Pro Forma'!G57</f>
        <v>37115.634804015601</v>
      </c>
      <c r="H1153" s="2214">
        <f>'Part VII-Pro Forma'!H57</f>
        <v>33775.992004676242</v>
      </c>
      <c r="I1153" s="2214">
        <f>'Part VII-Pro Forma'!I57</f>
        <v>30247.763084487397</v>
      </c>
      <c r="J1153" s="2214">
        <f>'Part VII-Pro Forma'!J57</f>
        <v>26522.499323086202</v>
      </c>
      <c r="K1153" s="2214">
        <f>'Part VII-Pro Forma'!K57</f>
        <v>22592.522915764228</v>
      </c>
      <c r="N1153" s="2044"/>
      <c r="O1153" s="2044"/>
      <c r="Z1153" s="1925" t="s">
        <v>6773</v>
      </c>
      <c r="AA1153" s="2052">
        <v>57</v>
      </c>
    </row>
    <row r="1154" spans="1:27" s="1853" customFormat="1" ht="13.35" customHeight="1">
      <c r="A1154" s="1853" t="str">
        <f>$A1122</f>
        <v>Mortgage A</v>
      </c>
      <c r="B1154" s="2215">
        <f>'Part VII-Pro Forma'!B58</f>
        <v>0</v>
      </c>
      <c r="C1154" s="2215">
        <f>'Part VII-Pro Forma'!C58</f>
        <v>0</v>
      </c>
      <c r="D1154" s="2215">
        <f>'Part VII-Pro Forma'!D58</f>
        <v>0</v>
      </c>
      <c r="E1154" s="2215">
        <f>'Part VII-Pro Forma'!E58</f>
        <v>0</v>
      </c>
      <c r="F1154" s="2215">
        <f>'Part VII-Pro Forma'!F58</f>
        <v>0</v>
      </c>
      <c r="G1154" s="2215">
        <f>'Part VII-Pro Forma'!G58</f>
        <v>0</v>
      </c>
      <c r="H1154" s="2215">
        <f>'Part VII-Pro Forma'!H58</f>
        <v>0</v>
      </c>
      <c r="I1154" s="2215">
        <f>'Part VII-Pro Forma'!I58</f>
        <v>0</v>
      </c>
      <c r="J1154" s="2215">
        <f>'Part VII-Pro Forma'!J58</f>
        <v>0</v>
      </c>
      <c r="K1154" s="2215">
        <f>'Part VII-Pro Forma'!K58</f>
        <v>0</v>
      </c>
      <c r="N1154" s="2044"/>
      <c r="O1154" s="2044"/>
      <c r="Z1154" s="1925" t="s">
        <v>6773</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6773</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6773</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6773</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6773</v>
      </c>
      <c r="AA1158" s="2052">
        <v>62</v>
      </c>
    </row>
    <row r="1159" spans="1:27" s="1853" customFormat="1" ht="13.35" customHeight="1">
      <c r="A1159" s="1853" t="s">
        <v>1121</v>
      </c>
      <c r="B1159" s="2215">
        <f>'Part VII-Pro Forma'!B63</f>
        <v>-7500</v>
      </c>
      <c r="C1159" s="2215">
        <f>'Part VII-Pro Forma'!C63</f>
        <v>-7500</v>
      </c>
      <c r="D1159" s="2215">
        <f>'Part VII-Pro Forma'!D63</f>
        <v>-7500</v>
      </c>
      <c r="E1159" s="2215">
        <f>'Part VII-Pro Forma'!E63</f>
        <v>-7500</v>
      </c>
      <c r="F1159" s="2215">
        <f>'Part VII-Pro Forma'!F63</f>
        <v>-7500</v>
      </c>
      <c r="G1159" s="2215">
        <f>'Part VII-Pro Forma'!G63</f>
        <v>-7500</v>
      </c>
      <c r="H1159" s="2215">
        <f>'Part VII-Pro Forma'!H63</f>
        <v>-7500</v>
      </c>
      <c r="I1159" s="2215">
        <f>'Part VII-Pro Forma'!I63</f>
        <v>-7500</v>
      </c>
      <c r="J1159" s="2215">
        <f>'Part VII-Pro Forma'!J63</f>
        <v>-7500</v>
      </c>
      <c r="K1159" s="2215">
        <f>'Part VII-Pro Forma'!K63</f>
        <v>-7500</v>
      </c>
      <c r="N1159" s="2044"/>
      <c r="O1159" s="2044"/>
      <c r="Z1159" s="1925" t="s">
        <v>6773</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6773</v>
      </c>
      <c r="AA1160" s="2052">
        <v>64</v>
      </c>
    </row>
    <row r="1161" spans="1:27" s="1853" customFormat="1" ht="13.35" customHeight="1">
      <c r="A1161" s="1853" t="s">
        <v>1122</v>
      </c>
      <c r="B1161" s="2214">
        <f>'Part VII-Pro Forma'!B65</f>
        <v>43717.63360480588</v>
      </c>
      <c r="C1161" s="2214">
        <f>'Part VII-Pro Forma'!C65</f>
        <v>41220.706564028442</v>
      </c>
      <c r="D1161" s="2214">
        <f>'Part VII-Pro Forma'!D65</f>
        <v>38569.250191049374</v>
      </c>
      <c r="E1161" s="2214">
        <f>'Part VII-Pro Forma'!E65</f>
        <v>35754.855375482926</v>
      </c>
      <c r="F1161" s="2214">
        <f>'Part VII-Pro Forma'!F65</f>
        <v>32772.918469023483</v>
      </c>
      <c r="G1161" s="2214">
        <f>'Part VII-Pro Forma'!G65</f>
        <v>29615.634804015601</v>
      </c>
      <c r="H1161" s="2214">
        <f>'Part VII-Pro Forma'!H65</f>
        <v>26275.992004676242</v>
      </c>
      <c r="I1161" s="2214">
        <f>'Part VII-Pro Forma'!I65</f>
        <v>22747.763084487397</v>
      </c>
      <c r="J1161" s="2214">
        <f>'Part VII-Pro Forma'!J65</f>
        <v>19022.499323086202</v>
      </c>
      <c r="K1161" s="2214">
        <f>'Part VII-Pro Forma'!K65</f>
        <v>15092.522915764228</v>
      </c>
      <c r="N1161" s="2044"/>
      <c r="O1161" s="2044"/>
      <c r="Z1161" s="1925" t="s">
        <v>6773</v>
      </c>
      <c r="AA1161" s="2052">
        <v>65</v>
      </c>
    </row>
    <row r="1162" spans="1:27" s="1853" customFormat="1" ht="13.35" customHeight="1">
      <c r="A1162" s="1853" t="str">
        <f>$A1130</f>
        <v>DCR Mortgage A</v>
      </c>
      <c r="B1162" s="2216" t="str">
        <f>'Part VII-Pro Forma'!B66</f>
        <v/>
      </c>
      <c r="C1162" s="2216" t="str">
        <f>'Part VII-Pro Forma'!C66</f>
        <v/>
      </c>
      <c r="D1162" s="2216" t="str">
        <f>'Part VII-Pro Forma'!D66</f>
        <v/>
      </c>
      <c r="E1162" s="2216" t="str">
        <f>'Part VII-Pro Forma'!E66</f>
        <v/>
      </c>
      <c r="F1162" s="2216" t="str">
        <f>'Part VII-Pro Forma'!F66</f>
        <v/>
      </c>
      <c r="G1162" s="2216" t="str">
        <f>'Part VII-Pro Forma'!G66</f>
        <v/>
      </c>
      <c r="H1162" s="2216" t="str">
        <f>'Part VII-Pro Forma'!H66</f>
        <v/>
      </c>
      <c r="I1162" s="2216" t="str">
        <f>'Part VII-Pro Forma'!I66</f>
        <v/>
      </c>
      <c r="J1162" s="2216" t="str">
        <f>'Part VII-Pro Forma'!J66</f>
        <v/>
      </c>
      <c r="K1162" s="2216" t="str">
        <f>'Part VII-Pro Forma'!K66</f>
        <v/>
      </c>
      <c r="N1162" s="2044"/>
      <c r="O1162" s="2044"/>
      <c r="Z1162" s="1925" t="s">
        <v>6773</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6773</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6773</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6773</v>
      </c>
      <c r="AA1165" s="2052">
        <v>69</v>
      </c>
    </row>
    <row r="1166" spans="1:27" s="1853" customFormat="1" ht="13.35" customHeight="1">
      <c r="A1166" s="1853" t="s">
        <v>3344</v>
      </c>
      <c r="B1166" s="2216" t="str">
        <f>'Part VII-Pro Forma'!B70</f>
        <v/>
      </c>
      <c r="C1166" s="2216" t="str">
        <f>'Part VII-Pro Forma'!C70</f>
        <v/>
      </c>
      <c r="D1166" s="2216" t="str">
        <f>'Part VII-Pro Forma'!D70</f>
        <v/>
      </c>
      <c r="E1166" s="2216" t="str">
        <f>'Part VII-Pro Forma'!E70</f>
        <v/>
      </c>
      <c r="F1166" s="2216" t="str">
        <f>'Part VII-Pro Forma'!F70</f>
        <v/>
      </c>
      <c r="G1166" s="2216" t="str">
        <f>'Part VII-Pro Forma'!G70</f>
        <v/>
      </c>
      <c r="H1166" s="2216" t="str">
        <f>'Part VII-Pro Forma'!H70</f>
        <v/>
      </c>
      <c r="I1166" s="2216" t="str">
        <f>'Part VII-Pro Forma'!I70</f>
        <v/>
      </c>
      <c r="J1166" s="2216" t="str">
        <f>'Part VII-Pro Forma'!J70</f>
        <v/>
      </c>
      <c r="K1166" s="2216" t="str">
        <f>'Part VII-Pro Forma'!K70</f>
        <v/>
      </c>
      <c r="N1166" s="2044"/>
      <c r="O1166" s="2044"/>
      <c r="Z1166" s="1925" t="s">
        <v>6773</v>
      </c>
      <c r="AA1166" s="2052">
        <v>70</v>
      </c>
    </row>
    <row r="1167" spans="1:27" s="1853" customFormat="1" ht="13.35" customHeight="1">
      <c r="A1167" s="1853" t="s">
        <v>740</v>
      </c>
      <c r="B1167" s="2216">
        <f>'Part VII-Pro Forma'!B71</f>
        <v>1.1454674594040224</v>
      </c>
      <c r="C1167" s="2216">
        <f>'Part VII-Pro Forma'!C71</f>
        <v>1.1343452275027095</v>
      </c>
      <c r="D1167" s="2216">
        <f>'Part VII-Pro Forma'!D71</f>
        <v>1.1233341518761941</v>
      </c>
      <c r="E1167" s="2216">
        <f>'Part VII-Pro Forma'!E71</f>
        <v>1.1124266650233845</v>
      </c>
      <c r="F1167" s="2216">
        <f>'Part VII-Pro Forma'!F71</f>
        <v>1.1016273791109055</v>
      </c>
      <c r="G1167" s="2216">
        <f>'Part VII-Pro Forma'!G71</f>
        <v>1.0909321280281492</v>
      </c>
      <c r="H1167" s="2216">
        <f>'Part VII-Pro Forma'!H71</f>
        <v>1.0803398601486867</v>
      </c>
      <c r="I1167" s="2216">
        <f>'Part VII-Pro Forma'!I71</f>
        <v>1.0698520871919963</v>
      </c>
      <c r="J1167" s="2216">
        <f>'Part VII-Pro Forma'!J71</f>
        <v>1.059465268739866</v>
      </c>
      <c r="K1167" s="2216">
        <f>'Part VII-Pro Forma'!K71</f>
        <v>1.049178604377377</v>
      </c>
      <c r="N1167" s="2044"/>
      <c r="O1167" s="2044"/>
      <c r="Z1167" s="1925" t="s">
        <v>6773</v>
      </c>
      <c r="AA1167" s="2052">
        <v>71</v>
      </c>
    </row>
    <row r="1168" spans="1:27" s="1853" customFormat="1" ht="13.35" customHeight="1">
      <c r="A1168" s="1853" t="s">
        <v>2493</v>
      </c>
      <c r="B1168" s="2215" t="str">
        <f>'Part VII-Pro Forma'!B72</f>
        <v/>
      </c>
      <c r="C1168" s="2215" t="str">
        <f>'Part VII-Pro Forma'!C72</f>
        <v/>
      </c>
      <c r="D1168" s="2215" t="str">
        <f>'Part VII-Pro Forma'!D72</f>
        <v/>
      </c>
      <c r="E1168" s="2215" t="str">
        <f>'Part VII-Pro Forma'!E72</f>
        <v/>
      </c>
      <c r="F1168" s="2215" t="str">
        <f>'Part VII-Pro Forma'!F72</f>
        <v/>
      </c>
      <c r="G1168" s="2215" t="str">
        <f>'Part VII-Pro Forma'!G72</f>
        <v/>
      </c>
      <c r="H1168" s="2215" t="str">
        <f>'Part VII-Pro Forma'!H72</f>
        <v/>
      </c>
      <c r="I1168" s="2215" t="str">
        <f>'Part VII-Pro Forma'!I72</f>
        <v/>
      </c>
      <c r="J1168" s="2215" t="str">
        <f>'Part VII-Pro Forma'!J72</f>
        <v/>
      </c>
      <c r="K1168" s="2215" t="str">
        <f>'Part VII-Pro Forma'!K72</f>
        <v/>
      </c>
      <c r="N1168" s="2044"/>
      <c r="O1168" s="2044"/>
      <c r="Z1168" s="1925" t="s">
        <v>6773</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6773</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6773</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6773</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6773</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518268.73276933038</v>
      </c>
      <c r="C1175" s="2214">
        <f>'Part VII-Pro Forma'!C79</f>
        <v>528634.10742471693</v>
      </c>
      <c r="D1175" s="2214">
        <f>'Part VII-Pro Forma'!D79</f>
        <v>539206.78957321134</v>
      </c>
      <c r="E1175" s="2214">
        <f>'Part VII-Pro Forma'!E79</f>
        <v>549990.92536467547</v>
      </c>
      <c r="F1175" s="2214">
        <f>'Part VII-Pro Forma'!F79</f>
        <v>560990.74387196894</v>
      </c>
      <c r="G1175" s="2214">
        <f>'Part VII-Pro Forma'!G79</f>
        <v>572210.55874940834</v>
      </c>
      <c r="H1175" s="2214">
        <f>'Part VII-Pro Forma'!H79</f>
        <v>583654.76992439665</v>
      </c>
      <c r="I1175" s="2214">
        <f>'Part VII-Pro Forma'!I79</f>
        <v>595327.86532288441</v>
      </c>
      <c r="J1175" s="2214">
        <f>'Part VII-Pro Forma'!J79</f>
        <v>607234.4226293423</v>
      </c>
      <c r="K1175" s="2214">
        <f>'Part VII-Pro Forma'!K79</f>
        <v>619379.11108192895</v>
      </c>
      <c r="N1175" s="2044"/>
      <c r="O1175" s="2044"/>
      <c r="Z1175" s="1925" t="s">
        <v>6774</v>
      </c>
      <c r="AA1175" s="2052">
        <v>79</v>
      </c>
    </row>
    <row r="1176" spans="1:27" s="1853" customFormat="1" ht="13.35" customHeight="1">
      <c r="A1176" s="1853" t="s">
        <v>977</v>
      </c>
      <c r="B1176" s="2214">
        <f>'Part VII-Pro Forma'!B80</f>
        <v>10365.374655386608</v>
      </c>
      <c r="C1176" s="2214">
        <f>'Part VII-Pro Forma'!C80</f>
        <v>10572.682148494339</v>
      </c>
      <c r="D1176" s="2214">
        <f>'Part VII-Pro Forma'!D80</f>
        <v>10784.135791464227</v>
      </c>
      <c r="E1176" s="2214">
        <f>'Part VII-Pro Forma'!E80</f>
        <v>10999.81850729351</v>
      </c>
      <c r="F1176" s="2214">
        <f>'Part VII-Pro Forma'!F80</f>
        <v>11219.814877439381</v>
      </c>
      <c r="G1176" s="2214">
        <f>'Part VII-Pro Forma'!G80</f>
        <v>11444.211174988168</v>
      </c>
      <c r="H1176" s="2214">
        <f>'Part VII-Pro Forma'!H80</f>
        <v>11673.095398487932</v>
      </c>
      <c r="I1176" s="2214">
        <f>'Part VII-Pro Forma'!I80</f>
        <v>11906.557306457689</v>
      </c>
      <c r="J1176" s="2214">
        <f>'Part VII-Pro Forma'!J80</f>
        <v>12144.688452586846</v>
      </c>
      <c r="K1176" s="2214">
        <f>'Part VII-Pro Forma'!K80</f>
        <v>12387.58222163858</v>
      </c>
      <c r="N1176" s="2044"/>
      <c r="O1176" s="2044"/>
      <c r="Z1176" s="1925" t="s">
        <v>6774</v>
      </c>
      <c r="AA1176" s="2052">
        <v>80</v>
      </c>
    </row>
    <row r="1177" spans="1:27" s="1853" customFormat="1" ht="13.35" customHeight="1">
      <c r="A1177" s="1853" t="s">
        <v>2295</v>
      </c>
      <c r="B1177" s="2214">
        <f>'Part VII-Pro Forma'!B81</f>
        <v>-37004.38751973019</v>
      </c>
      <c r="C1177" s="2214">
        <f>'Part VII-Pro Forma'!C81</f>
        <v>-37744.475270124793</v>
      </c>
      <c r="D1177" s="2214">
        <f>'Part VII-Pro Forma'!D81</f>
        <v>-38499.364775527298</v>
      </c>
      <c r="E1177" s="2214">
        <f>'Part VII-Pro Forma'!E81</f>
        <v>-39269.352071037829</v>
      </c>
      <c r="F1177" s="2214">
        <f>'Part VII-Pro Forma'!F81</f>
        <v>-40054.739112458585</v>
      </c>
      <c r="G1177" s="2214">
        <f>'Part VII-Pro Forma'!G81</f>
        <v>-40855.833894707765</v>
      </c>
      <c r="H1177" s="2214">
        <f>'Part VII-Pro Forma'!H81</f>
        <v>-41672.950572601927</v>
      </c>
      <c r="I1177" s="2214">
        <f>'Part VII-Pro Forma'!I81</f>
        <v>-42506.409584053952</v>
      </c>
      <c r="J1177" s="2214">
        <f>'Part VII-Pro Forma'!J81</f>
        <v>-43356.537775735043</v>
      </c>
      <c r="K1177" s="2214">
        <f>'Part VII-Pro Forma'!K81</f>
        <v>-44223.668531249728</v>
      </c>
      <c r="N1177" s="2044"/>
      <c r="O1177" s="2044"/>
      <c r="Z1177" s="1925" t="s">
        <v>6774</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6774</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6774</v>
      </c>
      <c r="AA1179" s="2052">
        <v>83</v>
      </c>
    </row>
    <row r="1180" spans="1:27" s="1853" customFormat="1" ht="13.35" customHeight="1">
      <c r="A1180" s="1853" t="s">
        <v>4014</v>
      </c>
      <c r="B1180" s="2214">
        <f>'Part VII-Pro Forma'!B84</f>
        <v>491629.71990498673</v>
      </c>
      <c r="C1180" s="2214">
        <f>'Part VII-Pro Forma'!C84</f>
        <v>501462.31430308643</v>
      </c>
      <c r="D1180" s="2214">
        <f>'Part VII-Pro Forma'!D84</f>
        <v>511491.56058914831</v>
      </c>
      <c r="E1180" s="2214">
        <f>'Part VII-Pro Forma'!E84</f>
        <v>521721.39180093113</v>
      </c>
      <c r="F1180" s="2214">
        <f>'Part VII-Pro Forma'!F84</f>
        <v>532155.8196369498</v>
      </c>
      <c r="G1180" s="2214">
        <f>'Part VII-Pro Forma'!G84</f>
        <v>542798.9360296888</v>
      </c>
      <c r="H1180" s="2214">
        <f>'Part VII-Pro Forma'!H84</f>
        <v>553654.91475028265</v>
      </c>
      <c r="I1180" s="2214">
        <f>'Part VII-Pro Forma'!I84</f>
        <v>564728.01304528816</v>
      </c>
      <c r="J1180" s="2214">
        <f>'Part VII-Pro Forma'!J84</f>
        <v>576022.57330619416</v>
      </c>
      <c r="K1180" s="2214">
        <f>'Part VII-Pro Forma'!K84</f>
        <v>587543.02477231773</v>
      </c>
      <c r="N1180" s="2044"/>
      <c r="O1180" s="2044"/>
      <c r="Z1180" s="1925" t="s">
        <v>6774</v>
      </c>
      <c r="AA1180" s="2052">
        <v>84</v>
      </c>
    </row>
    <row r="1181" spans="1:27" s="1853" customFormat="1" ht="13.35" customHeight="1">
      <c r="A1181" s="1853" t="s">
        <v>585</v>
      </c>
      <c r="B1181" s="2214">
        <f>'Part VII-Pro Forma'!B85</f>
        <v>-407256.41008313664</v>
      </c>
      <c r="C1181" s="2214">
        <f>'Part VII-Pro Forma'!C85</f>
        <v>-419474.10238563071</v>
      </c>
      <c r="D1181" s="2214">
        <f>'Part VII-Pro Forma'!D85</f>
        <v>-432058.32545719965</v>
      </c>
      <c r="E1181" s="2214">
        <f>'Part VII-Pro Forma'!E85</f>
        <v>-445020.07522091566</v>
      </c>
      <c r="F1181" s="2214">
        <f>'Part VII-Pro Forma'!F85</f>
        <v>-458370.67747754307</v>
      </c>
      <c r="G1181" s="2214">
        <f>'Part VII-Pro Forma'!G85</f>
        <v>-472121.7978018694</v>
      </c>
      <c r="H1181" s="2214">
        <f>'Part VII-Pro Forma'!H85</f>
        <v>-486285.45173592551</v>
      </c>
      <c r="I1181" s="2214">
        <f>'Part VII-Pro Forma'!I85</f>
        <v>-500874.01528800325</v>
      </c>
      <c r="J1181" s="2214">
        <f>'Part VII-Pro Forma'!J85</f>
        <v>-515900.23574664333</v>
      </c>
      <c r="K1181" s="2214">
        <f>'Part VII-Pro Forma'!K85</f>
        <v>-531377.24281904253</v>
      </c>
      <c r="N1181" s="2044"/>
      <c r="O1181" s="2044"/>
      <c r="Z1181" s="1925" t="s">
        <v>6774</v>
      </c>
      <c r="AA1181" s="2052">
        <v>85</v>
      </c>
    </row>
    <row r="1182" spans="1:27" s="1853" customFormat="1" ht="13.35" customHeight="1">
      <c r="A1182" s="1853" t="s">
        <v>1075</v>
      </c>
      <c r="B1182" s="2214">
        <f>'Part VII-Pro Forma'!B86</f>
        <v>-43347</v>
      </c>
      <c r="C1182" s="2214">
        <f>'Part VII-Pro Forma'!C86</f>
        <v>-44647</v>
      </c>
      <c r="D1182" s="2214">
        <f>'Part VII-Pro Forma'!D86</f>
        <v>-45986</v>
      </c>
      <c r="E1182" s="2214">
        <f>'Part VII-Pro Forma'!E86</f>
        <v>-47366</v>
      </c>
      <c r="F1182" s="2214">
        <f>'Part VII-Pro Forma'!F86</f>
        <v>-48787</v>
      </c>
      <c r="G1182" s="2214">
        <f>'Part VII-Pro Forma'!G86</f>
        <v>-50251</v>
      </c>
      <c r="H1182" s="2214">
        <f>'Part VII-Pro Forma'!H86</f>
        <v>-51758</v>
      </c>
      <c r="I1182" s="2214">
        <f>'Part VII-Pro Forma'!I86</f>
        <v>-53311</v>
      </c>
      <c r="J1182" s="2214">
        <f>'Part VII-Pro Forma'!J86</f>
        <v>-54910</v>
      </c>
      <c r="K1182" s="2214">
        <f>'Part VII-Pro Forma'!K86</f>
        <v>-56558</v>
      </c>
      <c r="N1182" s="2044"/>
      <c r="O1182" s="2044"/>
      <c r="Z1182" s="1925" t="s">
        <v>6774</v>
      </c>
      <c r="AA1182" s="2052">
        <v>86</v>
      </c>
    </row>
    <row r="1183" spans="1:27" s="1853" customFormat="1" ht="13.35" customHeight="1">
      <c r="A1183" s="1853" t="s">
        <v>1156</v>
      </c>
      <c r="B1183" s="2214">
        <f>'Part VII-Pro Forma'!B87</f>
        <v>-22576.390433367666</v>
      </c>
      <c r="C1183" s="2214">
        <f>'Part VII-Pro Forma'!C87</f>
        <v>-23253.682146368694</v>
      </c>
      <c r="D1183" s="2214">
        <f>'Part VII-Pro Forma'!D87</f>
        <v>-23951.292610759756</v>
      </c>
      <c r="E1183" s="2214">
        <f>'Part VII-Pro Forma'!E87</f>
        <v>-24669.831389082548</v>
      </c>
      <c r="F1183" s="2214">
        <f>'Part VII-Pro Forma'!F87</f>
        <v>-25409.926330755021</v>
      </c>
      <c r="G1183" s="2214">
        <f>'Part VII-Pro Forma'!G87</f>
        <v>-26172.224120677674</v>
      </c>
      <c r="H1183" s="2214">
        <f>'Part VII-Pro Forma'!H87</f>
        <v>-26957.390844298006</v>
      </c>
      <c r="I1183" s="2214">
        <f>'Part VII-Pro Forma'!I87</f>
        <v>-27766.112569626945</v>
      </c>
      <c r="J1183" s="2214">
        <f>'Part VII-Pro Forma'!J87</f>
        <v>-28599.095946715752</v>
      </c>
      <c r="K1183" s="2214">
        <f>'Part VII-Pro Forma'!K87</f>
        <v>-29457.068825117221</v>
      </c>
      <c r="N1183" s="2044"/>
      <c r="O1183" s="2044"/>
      <c r="Q1183" s="2052">
        <v>10</v>
      </c>
      <c r="R1183" s="2141">
        <f>-SUM(B1189:K1189)</f>
        <v>0</v>
      </c>
      <c r="S1183" s="2141">
        <f>SUM(B1190:K1190)+R1183</f>
        <v>0</v>
      </c>
      <c r="Z1183" s="1925" t="s">
        <v>6774</v>
      </c>
      <c r="AA1183" s="2052">
        <v>87</v>
      </c>
    </row>
    <row r="1184" spans="1:27" s="1853" customFormat="1" ht="13.35" customHeight="1">
      <c r="A1184" s="1853" t="s">
        <v>4013</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6774</v>
      </c>
      <c r="AA1184" s="2052">
        <v>88</v>
      </c>
    </row>
    <row r="1185" spans="1:27" s="1853" customFormat="1" ht="13.35" customHeight="1">
      <c r="A1185" s="1853" t="s">
        <v>1157</v>
      </c>
      <c r="B1185" s="2214">
        <f>'Part VII-Pro Forma'!B89</f>
        <v>18449.919388482431</v>
      </c>
      <c r="C1185" s="2214">
        <f>'Part VII-Pro Forma'!C89</f>
        <v>14087.529771087022</v>
      </c>
      <c r="D1185" s="2214">
        <f>'Part VII-Pro Forma'!D89</f>
        <v>9495.9425211889065</v>
      </c>
      <c r="E1185" s="2214">
        <f>'Part VII-Pro Forma'!E89</f>
        <v>4665.4851909329191</v>
      </c>
      <c r="F1185" s="2214">
        <f>'Part VII-Pro Forma'!F89</f>
        <v>-411.78417134828487</v>
      </c>
      <c r="G1185" s="2214">
        <f>'Part VII-Pro Forma'!G89</f>
        <v>-5746.0858928582675</v>
      </c>
      <c r="H1185" s="2214">
        <f>'Part VII-Pro Forma'!H89</f>
        <v>-11345.927829940865</v>
      </c>
      <c r="I1185" s="2214">
        <f>'Part VII-Pro Forma'!I89</f>
        <v>-17223.114812342043</v>
      </c>
      <c r="J1185" s="2214">
        <f>'Part VII-Pro Forma'!J89</f>
        <v>-23386.758387164926</v>
      </c>
      <c r="K1185" s="2214">
        <f>'Part VII-Pro Forma'!K89</f>
        <v>-29849.286871842018</v>
      </c>
      <c r="N1185" s="2044"/>
      <c r="O1185" s="2044"/>
      <c r="Z1185" s="1925" t="s">
        <v>6774</v>
      </c>
      <c r="AA1185" s="2052">
        <v>89</v>
      </c>
    </row>
    <row r="1186" spans="1:27" s="1853" customFormat="1" ht="13.35" customHeight="1">
      <c r="A1186" s="1853" t="str">
        <f>$A1154</f>
        <v>Mortgage A</v>
      </c>
      <c r="B1186" s="2215">
        <f>'Part VII-Pro Forma'!B90</f>
        <v>0</v>
      </c>
      <c r="C1186" s="2215">
        <f>'Part VII-Pro Forma'!C90</f>
        <v>0</v>
      </c>
      <c r="D1186" s="2215">
        <f>'Part VII-Pro Forma'!D90</f>
        <v>0</v>
      </c>
      <c r="E1186" s="2215">
        <f>'Part VII-Pro Forma'!E90</f>
        <v>0</v>
      </c>
      <c r="F1186" s="2215">
        <f>'Part VII-Pro Forma'!F90</f>
        <v>0</v>
      </c>
      <c r="G1186" s="2215">
        <f>'Part VII-Pro Forma'!G90</f>
        <v>0</v>
      </c>
      <c r="H1186" s="2215">
        <f>'Part VII-Pro Forma'!H90</f>
        <v>0</v>
      </c>
      <c r="I1186" s="2215">
        <f>'Part VII-Pro Forma'!I90</f>
        <v>0</v>
      </c>
      <c r="J1186" s="2215">
        <f>'Part VII-Pro Forma'!J90</f>
        <v>0</v>
      </c>
      <c r="K1186" s="2215">
        <f>'Part VII-Pro Forma'!K90</f>
        <v>0</v>
      </c>
      <c r="N1186" s="2044"/>
      <c r="O1186" s="2044"/>
      <c r="Z1186" s="1925" t="s">
        <v>6774</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6774</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6774</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6774</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6774</v>
      </c>
      <c r="AA1190" s="2052">
        <v>94</v>
      </c>
    </row>
    <row r="1191" spans="1:27" s="1853" customFormat="1" ht="13.35" customHeight="1">
      <c r="A1191" s="1853" t="s">
        <v>1121</v>
      </c>
      <c r="B1191" s="2215">
        <f>'Part VII-Pro Forma'!B95</f>
        <v>-7500</v>
      </c>
      <c r="C1191" s="2215">
        <f>'Part VII-Pro Forma'!C95</f>
        <v>-7500</v>
      </c>
      <c r="D1191" s="2215">
        <f>'Part VII-Pro Forma'!D95</f>
        <v>-7500</v>
      </c>
      <c r="E1191" s="2215">
        <f>'Part VII-Pro Forma'!E95</f>
        <v>-7500</v>
      </c>
      <c r="F1191" s="2215">
        <f>'Part VII-Pro Forma'!F95</f>
        <v>-7500</v>
      </c>
      <c r="G1191" s="2215">
        <f>'Part VII-Pro Forma'!G95</f>
        <v>-7500</v>
      </c>
      <c r="H1191" s="2215">
        <f>'Part VII-Pro Forma'!H95</f>
        <v>-7500</v>
      </c>
      <c r="I1191" s="2215">
        <f>'Part VII-Pro Forma'!I95</f>
        <v>-7500</v>
      </c>
      <c r="J1191" s="2215">
        <f>'Part VII-Pro Forma'!J95</f>
        <v>-7500</v>
      </c>
      <c r="K1191" s="2215">
        <f>'Part VII-Pro Forma'!K95</f>
        <v>-7500</v>
      </c>
      <c r="N1191" s="2044"/>
      <c r="O1191" s="2044"/>
      <c r="Z1191" s="1925" t="s">
        <v>6774</v>
      </c>
      <c r="AA1191" s="2052">
        <v>95</v>
      </c>
    </row>
    <row r="1192" spans="1:27" s="1853" customFormat="1" ht="13.35" customHeight="1">
      <c r="A1192" s="1853" t="s">
        <v>1122</v>
      </c>
      <c r="B1192" s="2214">
        <f>'Part VII-Pro Forma'!B96</f>
        <v>10949.919388482431</v>
      </c>
      <c r="C1192" s="2214">
        <f>'Part VII-Pro Forma'!C96</f>
        <v>6587.5297710870218</v>
      </c>
      <c r="D1192" s="2214">
        <f>'Part VII-Pro Forma'!D96</f>
        <v>1995.9425211889065</v>
      </c>
      <c r="E1192" s="2214">
        <f>'Part VII-Pro Forma'!E96</f>
        <v>-2834.5148090670809</v>
      </c>
      <c r="F1192" s="2214">
        <f>'Part VII-Pro Forma'!F96</f>
        <v>-7911.7841713482849</v>
      </c>
      <c r="G1192" s="2214">
        <f>'Part VII-Pro Forma'!G96</f>
        <v>-13246.085892858267</v>
      </c>
      <c r="H1192" s="2214">
        <f>'Part VII-Pro Forma'!H96</f>
        <v>-18845.927829940865</v>
      </c>
      <c r="I1192" s="2214">
        <f>'Part VII-Pro Forma'!I96</f>
        <v>-24723.114812342043</v>
      </c>
      <c r="J1192" s="2214">
        <f>'Part VII-Pro Forma'!J96</f>
        <v>-30886.758387164926</v>
      </c>
      <c r="K1192" s="2214">
        <f>'Part VII-Pro Forma'!K96</f>
        <v>-37349.286871842021</v>
      </c>
      <c r="N1192" s="2044"/>
      <c r="O1192" s="2044"/>
      <c r="Z1192" s="1925" t="s">
        <v>6774</v>
      </c>
      <c r="AA1192" s="1930">
        <v>96</v>
      </c>
    </row>
    <row r="1193" spans="1:27" s="1853" customFormat="1" ht="13.35" customHeight="1">
      <c r="A1193" s="1853" t="str">
        <f>$A1162</f>
        <v>DCR Mortgage A</v>
      </c>
      <c r="B1193" s="2216" t="str">
        <f>'Part VII-Pro Forma'!B97</f>
        <v/>
      </c>
      <c r="C1193" s="2216" t="str">
        <f>'Part VII-Pro Forma'!C97</f>
        <v/>
      </c>
      <c r="D1193" s="2216" t="str">
        <f>'Part VII-Pro Forma'!D97</f>
        <v/>
      </c>
      <c r="E1193" s="2216" t="str">
        <f>'Part VII-Pro Forma'!E97</f>
        <v/>
      </c>
      <c r="F1193" s="2216" t="str">
        <f>'Part VII-Pro Forma'!F97</f>
        <v/>
      </c>
      <c r="G1193" s="2216" t="str">
        <f>'Part VII-Pro Forma'!G97</f>
        <v/>
      </c>
      <c r="H1193" s="2216" t="str">
        <f>'Part VII-Pro Forma'!H97</f>
        <v/>
      </c>
      <c r="I1193" s="2216" t="str">
        <f>'Part VII-Pro Forma'!I97</f>
        <v/>
      </c>
      <c r="J1193" s="2216" t="str">
        <f>'Part VII-Pro Forma'!J97</f>
        <v/>
      </c>
      <c r="K1193" s="2216" t="str">
        <f>'Part VII-Pro Forma'!K97</f>
        <v/>
      </c>
      <c r="N1193" s="2044"/>
      <c r="O1193" s="2044"/>
      <c r="Z1193" s="1925" t="s">
        <v>6774</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6774</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6774</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6774</v>
      </c>
      <c r="AA1196" s="2052">
        <v>100</v>
      </c>
    </row>
    <row r="1197" spans="1:27" s="1853" customFormat="1" ht="13.35" customHeight="1">
      <c r="A1197" s="1853" t="s">
        <v>3344</v>
      </c>
      <c r="B1197" s="2216" t="str">
        <f>'Part VII-Pro Forma'!B101</f>
        <v/>
      </c>
      <c r="C1197" s="2216" t="str">
        <f>'Part VII-Pro Forma'!C101</f>
        <v/>
      </c>
      <c r="D1197" s="2216" t="str">
        <f>'Part VII-Pro Forma'!D101</f>
        <v/>
      </c>
      <c r="E1197" s="2216" t="str">
        <f>'Part VII-Pro Forma'!E101</f>
        <v/>
      </c>
      <c r="F1197" s="2216" t="str">
        <f>'Part VII-Pro Forma'!F101</f>
        <v/>
      </c>
      <c r="G1197" s="2216" t="str">
        <f>'Part VII-Pro Forma'!G101</f>
        <v/>
      </c>
      <c r="H1197" s="2216" t="str">
        <f>'Part VII-Pro Forma'!H101</f>
        <v/>
      </c>
      <c r="I1197" s="2216" t="str">
        <f>'Part VII-Pro Forma'!I101</f>
        <v/>
      </c>
      <c r="J1197" s="2216" t="str">
        <f>'Part VII-Pro Forma'!J101</f>
        <v/>
      </c>
      <c r="K1197" s="2216" t="str">
        <f>'Part VII-Pro Forma'!K101</f>
        <v/>
      </c>
      <c r="N1197" s="2044"/>
      <c r="O1197" s="2044"/>
      <c r="Z1197" s="1925" t="s">
        <v>6774</v>
      </c>
      <c r="AA1197" s="2052">
        <v>101</v>
      </c>
    </row>
    <row r="1198" spans="1:27" s="1853" customFormat="1" ht="13.35" customHeight="1">
      <c r="A1198" s="1853" t="s">
        <v>740</v>
      </c>
      <c r="B1198" s="2216">
        <f>'Part VII-Pro Forma'!B102</f>
        <v>1.0389913503669075</v>
      </c>
      <c r="C1198" s="2216">
        <f>'Part VII-Pro Forma'!C102</f>
        <v>1.0289049212601644</v>
      </c>
      <c r="D1198" s="2216">
        <f>'Part VII-Pro Forma'!D102</f>
        <v>1.0189163852818799</v>
      </c>
      <c r="E1198" s="2216">
        <f>'Part VII-Pro Forma'!E102</f>
        <v>1.0090231735703814</v>
      </c>
      <c r="F1198" s="2216">
        <f>'Part VII-Pro Forma'!F102</f>
        <v>0.99922679455452468</v>
      </c>
      <c r="G1198" s="2216">
        <f>'Part VII-Pro Forma'!G102</f>
        <v>0.98952486001473627</v>
      </c>
      <c r="H1198" s="2216">
        <f>'Part VII-Pro Forma'!H102</f>
        <v>0.97991874175244276</v>
      </c>
      <c r="I1198" s="2216">
        <f>'Part VII-Pro Forma'!I102</f>
        <v>0.97040453401001825</v>
      </c>
      <c r="J1198" s="2216">
        <f>'Part VII-Pro Forma'!J102</f>
        <v>0.960983659828758</v>
      </c>
      <c r="K1198" s="2216">
        <f>'Part VII-Pro Forma'!K102</f>
        <v>0.9516526423979087</v>
      </c>
      <c r="N1198" s="2044"/>
      <c r="O1198" s="2044"/>
      <c r="Z1198" s="1925" t="s">
        <v>6774</v>
      </c>
      <c r="AA1198" s="2052">
        <v>102</v>
      </c>
    </row>
    <row r="1199" spans="1:27" s="1853" customFormat="1" ht="13.35" customHeight="1">
      <c r="A1199" s="1853" t="s">
        <v>2493</v>
      </c>
      <c r="B1199" s="2215" t="str">
        <f>'Part VII-Pro Forma'!B103</f>
        <v/>
      </c>
      <c r="C1199" s="2215" t="str">
        <f>'Part VII-Pro Forma'!C103</f>
        <v/>
      </c>
      <c r="D1199" s="2215" t="str">
        <f>'Part VII-Pro Forma'!D103</f>
        <v/>
      </c>
      <c r="E1199" s="2215" t="str">
        <f>'Part VII-Pro Forma'!E103</f>
        <v/>
      </c>
      <c r="F1199" s="2215" t="str">
        <f>'Part VII-Pro Forma'!F103</f>
        <v/>
      </c>
      <c r="G1199" s="2215" t="str">
        <f>'Part VII-Pro Forma'!G103</f>
        <v/>
      </c>
      <c r="H1199" s="2215" t="str">
        <f>'Part VII-Pro Forma'!H103</f>
        <v/>
      </c>
      <c r="I1199" s="2215" t="str">
        <f>'Part VII-Pro Forma'!I103</f>
        <v/>
      </c>
      <c r="J1199" s="2215" t="str">
        <f>'Part VII-Pro Forma'!J103</f>
        <v/>
      </c>
      <c r="K1199" s="2215" t="str">
        <f>'Part VII-Pro Forma'!K103</f>
        <v/>
      </c>
      <c r="N1199" s="2044"/>
      <c r="O1199" s="2044"/>
      <c r="Z1199" s="1925" t="s">
        <v>6774</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6774</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6774</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6774</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3335</v>
      </c>
      <c r="Z1204" s="1925"/>
      <c r="AA1204" s="1930">
        <v>108</v>
      </c>
    </row>
    <row r="1205" spans="1:27" s="1853" customFormat="1" ht="13.35" customHeight="1">
      <c r="A1205" s="1853" t="s">
        <v>2294</v>
      </c>
      <c r="B1205" s="2214">
        <f>'Part VII-Pro Forma'!B109</f>
        <v>631766.69330356759</v>
      </c>
      <c r="C1205" s="2214">
        <f>'Part VII-Pro Forma'!C109</f>
        <v>644402.02716963878</v>
      </c>
      <c r="D1205" s="2214">
        <f>'Part VII-Pro Forma'!D109</f>
        <v>657290.06771303178</v>
      </c>
      <c r="E1205" s="2214">
        <f>'Part VII-Pro Forma'!E109</f>
        <v>670435.86906729243</v>
      </c>
      <c r="F1205" s="2214">
        <f>'Part VII-Pro Forma'!F109</f>
        <v>683844.58644863823</v>
      </c>
      <c r="G1205" s="2214"/>
      <c r="H1205" s="2214"/>
      <c r="I1205" s="2214"/>
      <c r="J1205" s="2214"/>
      <c r="K1205" s="2214"/>
      <c r="N1205" s="2044"/>
      <c r="O1205" s="2044"/>
      <c r="Z1205" s="1925" t="s">
        <v>6775</v>
      </c>
      <c r="AA1205" s="2052">
        <v>109</v>
      </c>
    </row>
    <row r="1206" spans="1:27" s="1853" customFormat="1" ht="13.35" customHeight="1">
      <c r="A1206" s="1853" t="s">
        <v>977</v>
      </c>
      <c r="B1206" s="2214">
        <f>'Part VII-Pro Forma'!B110</f>
        <v>12635.333866071353</v>
      </c>
      <c r="C1206" s="2214">
        <f>'Part VII-Pro Forma'!C110</f>
        <v>12888.040543392777</v>
      </c>
      <c r="D1206" s="2214">
        <f>'Part VII-Pro Forma'!D110</f>
        <v>13145.801354260635</v>
      </c>
      <c r="E1206" s="2214">
        <f>'Part VII-Pro Forma'!E110</f>
        <v>13408.717381345848</v>
      </c>
      <c r="F1206" s="2214">
        <f>'Part VII-Pro Forma'!F110</f>
        <v>13676.891728972765</v>
      </c>
      <c r="G1206" s="2214"/>
      <c r="H1206" s="2214"/>
      <c r="I1206" s="2214"/>
      <c r="J1206" s="2214"/>
      <c r="K1206" s="2214"/>
      <c r="N1206" s="2044"/>
      <c r="O1206" s="2044"/>
      <c r="Z1206" s="1925" t="s">
        <v>6775</v>
      </c>
      <c r="AA1206" s="2052">
        <v>110</v>
      </c>
    </row>
    <row r="1207" spans="1:27" s="1853" customFormat="1" ht="13.35" customHeight="1">
      <c r="A1207" s="1853" t="s">
        <v>2295</v>
      </c>
      <c r="B1207" s="2214">
        <f>'Part VII-Pro Forma'!B111</f>
        <v>-45108.141901874726</v>
      </c>
      <c r="C1207" s="2214">
        <f>'Part VII-Pro Forma'!C111</f>
        <v>-46010.304739912215</v>
      </c>
      <c r="D1207" s="2214">
        <f>'Part VII-Pro Forma'!D111</f>
        <v>-46930.510834710476</v>
      </c>
      <c r="E1207" s="2214">
        <f>'Part VII-Pro Forma'!E111</f>
        <v>-47869.121051404683</v>
      </c>
      <c r="F1207" s="2214">
        <f>'Part VII-Pro Forma'!F111</f>
        <v>-48826.503472432778</v>
      </c>
      <c r="G1207" s="2214"/>
      <c r="H1207" s="2214"/>
      <c r="I1207" s="2214"/>
      <c r="J1207" s="2214"/>
      <c r="K1207" s="2214"/>
      <c r="N1207" s="2044"/>
      <c r="O1207" s="2044"/>
      <c r="Z1207" s="1925" t="s">
        <v>6775</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6775</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6775</v>
      </c>
      <c r="AA1209" s="2052">
        <v>113</v>
      </c>
    </row>
    <row r="1210" spans="1:27" s="1853" customFormat="1" ht="13.35" customHeight="1">
      <c r="A1210" s="1853" t="s">
        <v>4014</v>
      </c>
      <c r="B1210" s="2214">
        <f>'Part VII-Pro Forma'!B114</f>
        <v>599293.88526776421</v>
      </c>
      <c r="C1210" s="2214">
        <f>'Part VII-Pro Forma'!C114</f>
        <v>611279.76297311927</v>
      </c>
      <c r="D1210" s="2214">
        <f>'Part VII-Pro Forma'!D114</f>
        <v>623505.35823258199</v>
      </c>
      <c r="E1210" s="2214">
        <f>'Part VII-Pro Forma'!E114</f>
        <v>635975.46539723361</v>
      </c>
      <c r="F1210" s="2214">
        <f>'Part VII-Pro Forma'!F114</f>
        <v>648694.97470517829</v>
      </c>
      <c r="G1210" s="2214"/>
      <c r="H1210" s="2214"/>
      <c r="I1210" s="2214"/>
      <c r="J1210" s="2214"/>
      <c r="K1210" s="2214"/>
      <c r="N1210" s="2044"/>
      <c r="O1210" s="2044"/>
      <c r="Z1210" s="1925" t="s">
        <v>6775</v>
      </c>
      <c r="AA1210" s="2052">
        <v>114</v>
      </c>
    </row>
    <row r="1211" spans="1:27" s="1853" customFormat="1" ht="13.35" customHeight="1">
      <c r="A1211" s="1853" t="s">
        <v>585</v>
      </c>
      <c r="B1211" s="2214">
        <f>'Part VII-Pro Forma'!B115</f>
        <v>-547318.56010361388</v>
      </c>
      <c r="C1211" s="2214">
        <f>'Part VII-Pro Forma'!C115</f>
        <v>-563738.11690672231</v>
      </c>
      <c r="D1211" s="2214">
        <f>'Part VII-Pro Forma'!D115</f>
        <v>-580650.26041392388</v>
      </c>
      <c r="E1211" s="2214">
        <f>'Part VII-Pro Forma'!E115</f>
        <v>-598069.76822634169</v>
      </c>
      <c r="F1211" s="2214">
        <f>'Part VII-Pro Forma'!F115</f>
        <v>-616011.8612731318</v>
      </c>
      <c r="G1211" s="2214"/>
      <c r="H1211" s="2214"/>
      <c r="I1211" s="2214"/>
      <c r="J1211" s="2214"/>
      <c r="K1211" s="2214"/>
      <c r="N1211" s="2044"/>
      <c r="O1211" s="2044"/>
      <c r="Z1211" s="1925" t="s">
        <v>6775</v>
      </c>
      <c r="AA1211" s="2052">
        <v>115</v>
      </c>
    </row>
    <row r="1212" spans="1:27" s="1853" customFormat="1" ht="13.35" customHeight="1">
      <c r="A1212" s="1853" t="s">
        <v>1075</v>
      </c>
      <c r="B1212" s="2214">
        <f>'Part VII-Pro Forma'!B116</f>
        <v>-58254</v>
      </c>
      <c r="C1212" s="2214">
        <f>'Part VII-Pro Forma'!C116</f>
        <v>-60002</v>
      </c>
      <c r="D1212" s="2214">
        <f>'Part VII-Pro Forma'!D116</f>
        <v>-61802</v>
      </c>
      <c r="E1212" s="2214">
        <f>'Part VII-Pro Forma'!E116</f>
        <v>-63656</v>
      </c>
      <c r="F1212" s="2214">
        <f>'Part VII-Pro Forma'!F116</f>
        <v>-65566</v>
      </c>
      <c r="G1212" s="2214"/>
      <c r="H1212" s="2214"/>
      <c r="I1212" s="2214"/>
      <c r="J1212" s="2214"/>
      <c r="K1212" s="2214"/>
      <c r="N1212" s="2044"/>
      <c r="O1212" s="2044"/>
      <c r="Z1212" s="1925" t="s">
        <v>6775</v>
      </c>
      <c r="AA1212" s="2052">
        <v>116</v>
      </c>
    </row>
    <row r="1213" spans="1:27" s="1853" customFormat="1" ht="13.35" customHeight="1">
      <c r="A1213" s="1853" t="s">
        <v>1156</v>
      </c>
      <c r="B1213" s="2214">
        <f>'Part VII-Pro Forma'!B117</f>
        <v>-30340.780889870737</v>
      </c>
      <c r="C1213" s="2214">
        <f>'Part VII-Pro Forma'!C117</f>
        <v>-31251.004316566865</v>
      </c>
      <c r="D1213" s="2214">
        <f>'Part VII-Pro Forma'!D117</f>
        <v>-32188.534446063866</v>
      </c>
      <c r="E1213" s="2214">
        <f>'Part VII-Pro Forma'!E117</f>
        <v>-33154.190479445781</v>
      </c>
      <c r="F1213" s="2214">
        <f>'Part VII-Pro Forma'!F117</f>
        <v>-34148.816193829152</v>
      </c>
      <c r="G1213" s="2214"/>
      <c r="H1213" s="2214"/>
      <c r="I1213" s="2214"/>
      <c r="J1213" s="2214"/>
      <c r="K1213" s="2214"/>
      <c r="N1213" s="2044"/>
      <c r="O1213" s="2044"/>
      <c r="Q1213" s="2052">
        <v>10</v>
      </c>
      <c r="R1213" s="2141">
        <f>-SUM(B1219:K1219)</f>
        <v>0</v>
      </c>
      <c r="S1213" s="2141">
        <f>SUM(B1220:K1220)+R1213</f>
        <v>0</v>
      </c>
      <c r="Z1213" s="1925" t="s">
        <v>6775</v>
      </c>
      <c r="AA1213" s="1930">
        <v>117</v>
      </c>
    </row>
    <row r="1214" spans="1:27" s="1853" customFormat="1" ht="13.35" customHeight="1">
      <c r="A1214" s="1853" t="s">
        <v>4013</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6775</v>
      </c>
      <c r="AA1214" s="2052">
        <v>118</v>
      </c>
    </row>
    <row r="1215" spans="1:27" s="1853" customFormat="1" ht="13.35" customHeight="1">
      <c r="A1215" s="1853" t="s">
        <v>1157</v>
      </c>
      <c r="B1215" s="2214">
        <f>'Part VII-Pro Forma'!B119</f>
        <v>-36619.455725720407</v>
      </c>
      <c r="C1215" s="2214">
        <f>'Part VII-Pro Forma'!C119</f>
        <v>-43711.358250169898</v>
      </c>
      <c r="D1215" s="2214">
        <f>'Part VII-Pro Forma'!D119</f>
        <v>-51135.436627405761</v>
      </c>
      <c r="E1215" s="2214">
        <f>'Part VII-Pro Forma'!E119</f>
        <v>-58904.493308553865</v>
      </c>
      <c r="F1215" s="2214">
        <f>'Part VII-Pro Forma'!F119</f>
        <v>-67031.702761782653</v>
      </c>
      <c r="G1215" s="2214"/>
      <c r="H1215" s="2214"/>
      <c r="I1215" s="2214"/>
      <c r="J1215" s="2214"/>
      <c r="K1215" s="2214"/>
      <c r="N1215" s="2044"/>
      <c r="O1215" s="2044"/>
      <c r="Z1215" s="1925" t="s">
        <v>6775</v>
      </c>
      <c r="AA1215" s="2052">
        <v>119</v>
      </c>
    </row>
    <row r="1216" spans="1:27" s="1853" customFormat="1" ht="13.35" customHeight="1">
      <c r="A1216" s="1853" t="str">
        <f>$A1186</f>
        <v>Mortgage A</v>
      </c>
      <c r="B1216" s="2215">
        <f>'Part VII-Pro Forma'!B120</f>
        <v>0</v>
      </c>
      <c r="C1216" s="2215">
        <f>'Part VII-Pro Forma'!C120</f>
        <v>0</v>
      </c>
      <c r="D1216" s="2215">
        <f>'Part VII-Pro Forma'!D120</f>
        <v>0</v>
      </c>
      <c r="E1216" s="2215">
        <f>'Part VII-Pro Forma'!E120</f>
        <v>0</v>
      </c>
      <c r="F1216" s="2215">
        <f>'Part VII-Pro Forma'!F120</f>
        <v>0</v>
      </c>
      <c r="G1216" s="2214"/>
      <c r="H1216" s="2214"/>
      <c r="I1216" s="2214"/>
      <c r="J1216" s="2214"/>
      <c r="K1216" s="2214"/>
      <c r="N1216" s="2044"/>
      <c r="O1216" s="2044"/>
      <c r="Z1216" s="1925" t="s">
        <v>6775</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6775</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6775</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6775</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6775</v>
      </c>
      <c r="AA1220" s="2052">
        <v>124</v>
      </c>
    </row>
    <row r="1221" spans="1:27" s="1853" customFormat="1" ht="13.35" customHeight="1">
      <c r="A1221" s="1853" t="s">
        <v>1121</v>
      </c>
      <c r="B1221" s="2215">
        <f>'Part VII-Pro Forma'!B125</f>
        <v>-7500</v>
      </c>
      <c r="C1221" s="2215">
        <f>'Part VII-Pro Forma'!C125</f>
        <v>-7500</v>
      </c>
      <c r="D1221" s="2215">
        <f>'Part VII-Pro Forma'!D125</f>
        <v>-7500</v>
      </c>
      <c r="E1221" s="2215">
        <f>'Part VII-Pro Forma'!E125</f>
        <v>-7500</v>
      </c>
      <c r="F1221" s="2215">
        <f>'Part VII-Pro Forma'!F125</f>
        <v>-7500</v>
      </c>
      <c r="G1221" s="2214"/>
      <c r="H1221" s="2214"/>
      <c r="I1221" s="2214"/>
      <c r="J1221" s="2214"/>
      <c r="K1221" s="2214"/>
      <c r="N1221" s="2044"/>
      <c r="O1221" s="2044"/>
      <c r="Z1221" s="1925" t="s">
        <v>6775</v>
      </c>
      <c r="AA1221" s="2052">
        <v>125</v>
      </c>
    </row>
    <row r="1222" spans="1:27" s="1853" customFormat="1" ht="13.35" customHeight="1">
      <c r="A1222" s="1853" t="s">
        <v>1122</v>
      </c>
      <c r="B1222" s="2214">
        <f>'Part VII-Pro Forma'!B126</f>
        <v>-44119.455725720407</v>
      </c>
      <c r="C1222" s="2214">
        <f>'Part VII-Pro Forma'!C126</f>
        <v>-51211.358250169898</v>
      </c>
      <c r="D1222" s="2214">
        <f>'Part VII-Pro Forma'!D126</f>
        <v>-58635.436627405761</v>
      </c>
      <c r="E1222" s="2214">
        <f>'Part VII-Pro Forma'!E126</f>
        <v>-66404.493308553865</v>
      </c>
      <c r="F1222" s="2214">
        <f>'Part VII-Pro Forma'!F126</f>
        <v>-74531.702761782653</v>
      </c>
      <c r="G1222" s="2214"/>
      <c r="H1222" s="2214"/>
      <c r="I1222" s="2214"/>
      <c r="J1222" s="2214"/>
      <c r="K1222" s="2214"/>
      <c r="N1222" s="2044"/>
      <c r="O1222" s="2044"/>
      <c r="Z1222" s="1925" t="s">
        <v>6775</v>
      </c>
      <c r="AA1222" s="2052">
        <v>126</v>
      </c>
    </row>
    <row r="1223" spans="1:27" s="1853" customFormat="1" ht="13.35" customHeight="1">
      <c r="A1223" s="1853" t="str">
        <f>$A1193</f>
        <v>DCR Mortgage A</v>
      </c>
      <c r="B1223" s="2216" t="str">
        <f>'Part VII-Pro Forma'!B127</f>
        <v/>
      </c>
      <c r="C1223" s="2216" t="str">
        <f>'Part VII-Pro Forma'!C127</f>
        <v/>
      </c>
      <c r="D1223" s="2216" t="str">
        <f>'Part VII-Pro Forma'!D127</f>
        <v/>
      </c>
      <c r="E1223" s="2216" t="str">
        <f>'Part VII-Pro Forma'!E127</f>
        <v/>
      </c>
      <c r="F1223" s="2216" t="str">
        <f>'Part VII-Pro Forma'!F127</f>
        <v/>
      </c>
      <c r="G1223" s="2214"/>
      <c r="H1223" s="2214"/>
      <c r="I1223" s="2214"/>
      <c r="J1223" s="2214"/>
      <c r="K1223" s="2214"/>
      <c r="N1223" s="2044"/>
      <c r="O1223" s="2044"/>
      <c r="Z1223" s="1925" t="s">
        <v>6775</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6775</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6775</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6775</v>
      </c>
      <c r="AA1226" s="2052">
        <v>130</v>
      </c>
    </row>
    <row r="1227" spans="1:27" s="1853" customFormat="1" ht="13.35" customHeight="1">
      <c r="A1227" s="1853" t="s">
        <v>3344</v>
      </c>
      <c r="B1227" s="2216" t="str">
        <f>'Part VII-Pro Forma'!B131</f>
        <v/>
      </c>
      <c r="C1227" s="2216" t="str">
        <f>'Part VII-Pro Forma'!C131</f>
        <v/>
      </c>
      <c r="D1227" s="2216" t="str">
        <f>'Part VII-Pro Forma'!D131</f>
        <v/>
      </c>
      <c r="E1227" s="2216" t="str">
        <f>'Part VII-Pro Forma'!E131</f>
        <v/>
      </c>
      <c r="F1227" s="2216" t="str">
        <f>'Part VII-Pro Forma'!F131</f>
        <v/>
      </c>
      <c r="G1227" s="2214"/>
      <c r="H1227" s="2214"/>
      <c r="I1227" s="2214"/>
      <c r="J1227" s="2214"/>
      <c r="K1227" s="2214"/>
      <c r="N1227" s="2044"/>
      <c r="O1227" s="2044"/>
      <c r="Z1227" s="1925" t="s">
        <v>6775</v>
      </c>
      <c r="AA1227" s="1930">
        <v>131</v>
      </c>
    </row>
    <row r="1228" spans="1:27" s="1853" customFormat="1" ht="13.35" customHeight="1">
      <c r="A1228" s="1853" t="s">
        <v>740</v>
      </c>
      <c r="B1228" s="2216">
        <f>'Part VII-Pro Forma'!B132</f>
        <v>0.9424143930232538</v>
      </c>
      <c r="C1228" s="2216">
        <f>'Part VII-Pro Forma'!C132</f>
        <v>0.9332641972786857</v>
      </c>
      <c r="D1228" s="2216">
        <f>'Part VII-Pro Forma'!D132</f>
        <v>0.92420346202453074</v>
      </c>
      <c r="E1228" s="2216">
        <f>'Part VII-Pro Forma'!E132</f>
        <v>0.91523069190502582</v>
      </c>
      <c r="F1228" s="2216">
        <f>'Part VII-Pro Forma'!F132</f>
        <v>0.90634455180710105</v>
      </c>
      <c r="G1228" s="2214"/>
      <c r="H1228" s="2214"/>
      <c r="I1228" s="2214"/>
      <c r="J1228" s="2214"/>
      <c r="K1228" s="2214"/>
      <c r="N1228" s="2044"/>
      <c r="O1228" s="2044"/>
      <c r="Z1228" s="1925" t="s">
        <v>6775</v>
      </c>
      <c r="AA1228" s="2052">
        <v>132</v>
      </c>
    </row>
    <row r="1229" spans="1:27" s="1853" customFormat="1" ht="13.35" customHeight="1">
      <c r="A1229" s="1853" t="s">
        <v>2493</v>
      </c>
      <c r="B1229" s="2215" t="str">
        <f>'Part VII-Pro Forma'!B133</f>
        <v/>
      </c>
      <c r="C1229" s="2215" t="str">
        <f>'Part VII-Pro Forma'!C133</f>
        <v/>
      </c>
      <c r="D1229" s="2215" t="str">
        <f>'Part VII-Pro Forma'!D133</f>
        <v/>
      </c>
      <c r="E1229" s="2215" t="str">
        <f>'Part VII-Pro Forma'!E133</f>
        <v/>
      </c>
      <c r="F1229" s="2215" t="str">
        <f>'Part VII-Pro Forma'!F133</f>
        <v/>
      </c>
      <c r="G1229" s="2214"/>
      <c r="H1229" s="2214"/>
      <c r="I1229" s="2214"/>
      <c r="J1229" s="2214"/>
      <c r="K1229" s="2214"/>
      <c r="N1229" s="2044"/>
      <c r="O1229" s="2044"/>
      <c r="Z1229" s="1925" t="s">
        <v>6775</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6775</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6775</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6775</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2021-050 Sparrow Pointe,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7119</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3372</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Applicant believes that the proposed project is feasible, viable, and in conformance with the plan. The overall development and construction costs are considered reasonable and were evaluated by an experienced General Contractor and Engineer.</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3286</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3287</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4132</v>
      </c>
      <c r="Q1279" s="1876"/>
    </row>
    <row r="1280" spans="1:32" s="1853" customFormat="1" ht="10.5" customHeight="1">
      <c r="D1280" s="2232" t="s">
        <v>2561</v>
      </c>
      <c r="F1280" s="2113" t="s">
        <v>3188</v>
      </c>
      <c r="G1280" s="2113" t="s">
        <v>4077</v>
      </c>
      <c r="H1280" s="2113"/>
      <c r="I1280" s="2113"/>
      <c r="K1280" s="2113" t="s">
        <v>3188</v>
      </c>
      <c r="L1280" s="2113" t="s">
        <v>4076</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4133</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12387336</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4119</v>
      </c>
      <c r="Q1286" s="435"/>
      <c r="R1286" s="2243" t="s">
        <v>6610</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11998904</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7120</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3282</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t="str">
        <f>IF('Part VI-Revenues &amp; Expenses'!$L$151 =0,"",'Part VI-Revenues &amp; Expenses'!$L$151)</f>
        <v/>
      </c>
      <c r="G1296" s="2235">
        <f>'Part VIII-Threshold Criteria'!G56</f>
        <v>187459.19999999998</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3283</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t="str">
        <f>IF('Part VI-Revenues &amp; Expenses'!$M$151 =0,"",'Part VI-Revenues &amp; Expenses'!$M$151)</f>
        <v/>
      </c>
      <c r="G1297" s="2235">
        <f>'Part VIII-Threshold Criteria'!G57</f>
        <v>237149.55</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t="str">
        <f>IF('Part VI-Revenues &amp; Expenses'!$N$151 =0,"",'Part VI-Revenues &amp; Expenses'!$N$151)</f>
        <v/>
      </c>
      <c r="G1298" s="2235">
        <f>'Part VIII-Threshold Criteria'!G58</f>
        <v>298701.7</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0</v>
      </c>
      <c r="G1300" s="2239"/>
      <c r="H1300" s="2240"/>
      <c r="I1300" s="2241">
        <f>SUM(I1295:I1299)</f>
        <v>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f>IF('Part VI-Revenues &amp; Expenses'!$L$153 =0,"",'Part VI-Revenues &amp; Expenses'!$L$153)</f>
        <v>10</v>
      </c>
      <c r="G1303" s="2235">
        <f>'Part VIII-Threshold Criteria'!G63</f>
        <v>195351.65</v>
      </c>
      <c r="H1303" s="2122" t="str">
        <f>CONCATENATE("x ", F1303," units = ")</f>
        <v xml:space="preserve">x 10 units = </v>
      </c>
      <c r="I1303" s="2053">
        <f>IF(F1303="","",F1303*G1303)</f>
        <v>1953516.5</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12000192.5</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f>IF('Part VI-Revenues &amp; Expenses'!$M$153 =0,"",'Part VI-Revenues &amp; Expenses'!$M$153)</f>
        <v>40</v>
      </c>
      <c r="G1304" s="2235">
        <f>'Part VIII-Threshold Criteria'!G64</f>
        <v>251166.9</v>
      </c>
      <c r="H1304" s="2122" t="str">
        <f>CONCATENATE("x ", F1304," units = ")</f>
        <v xml:space="preserve">x 40 units = </v>
      </c>
      <c r="I1304" s="2053">
        <f>IF(F1304="","",F1304*G1304)</f>
        <v>10046676</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6848</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50</v>
      </c>
      <c r="G1307" s="2239"/>
      <c r="H1307" s="2240"/>
      <c r="I1307" s="2241">
        <f>SUM(I1302:I1306)</f>
        <v>12000192.5</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50</v>
      </c>
      <c r="G1309" s="1876"/>
      <c r="H1309" s="1996">
        <f>I1286+I1293+I1300+I1307</f>
        <v>12000192.5</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3372</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The project's total development cost is below the cost limit.</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6432</v>
      </c>
      <c r="C1314" s="1818"/>
      <c r="D1314" s="1818"/>
      <c r="E1314" s="2229"/>
      <c r="F1314" s="2229"/>
      <c r="G1314" s="435" t="str">
        <f>'Part I-Project Information'!$H$77</f>
        <v>HFOP</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6433</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3372</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The Applicant is targeting a HFOP 55+ tenancy for the proposed project.</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3949</v>
      </c>
      <c r="M1319" s="2252" t="s">
        <v>3950</v>
      </c>
      <c r="O1319" s="2225" t="s">
        <v>1781</v>
      </c>
      <c r="P1319" s="1719"/>
      <c r="Q1319" s="1719"/>
    </row>
    <row r="1320" spans="1:31" s="1853" customFormat="1" ht="1.5" customHeight="1"/>
    <row r="1321" spans="1:31" s="1853" customFormat="1" ht="12" customHeight="1">
      <c r="A1321" s="2225" t="s">
        <v>1893</v>
      </c>
      <c r="B1321" s="2224" t="s">
        <v>3943</v>
      </c>
      <c r="C1321" s="2224"/>
      <c r="D1321" s="2224"/>
      <c r="E1321" s="2224"/>
      <c r="F1321" s="2224"/>
      <c r="G1321" s="2224"/>
      <c r="H1321" s="2224"/>
      <c r="I1321" s="2224"/>
      <c r="J1321" s="2224"/>
      <c r="L1321" s="2253" t="s">
        <v>2698</v>
      </c>
      <c r="M1321" s="2056">
        <v>2</v>
      </c>
      <c r="N1321" s="2224" t="s">
        <v>4223</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3948</v>
      </c>
      <c r="M1322" s="2253">
        <v>4</v>
      </c>
      <c r="O1322" s="2224"/>
      <c r="P1322" s="2112"/>
      <c r="Q1322" s="435"/>
    </row>
    <row r="1323" spans="1:31" s="1853" customFormat="1" ht="12" customHeight="1">
      <c r="A1323" s="2225"/>
      <c r="D1323" s="2229"/>
      <c r="E1323" s="2229"/>
      <c r="F1323" s="2229"/>
      <c r="G1323" s="2229"/>
      <c r="H1323" s="2229"/>
      <c r="I1323" s="2229"/>
      <c r="J1323" s="2229"/>
      <c r="L1323" s="2229" t="s">
        <v>6410</v>
      </c>
      <c r="M1323" s="2253"/>
      <c r="O1323" s="2224"/>
      <c r="P1323" s="2254">
        <f>'Part VIII-Threshold Criteria'!P83</f>
        <v>4</v>
      </c>
      <c r="Q1323" s="2255"/>
    </row>
    <row r="1324" spans="1:31" s="1853" customFormat="1" ht="12" customHeight="1">
      <c r="A1324" s="2256" t="s">
        <v>1895</v>
      </c>
      <c r="B1324" s="2224" t="s">
        <v>3951</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3955</v>
      </c>
      <c r="D1325" s="2224"/>
      <c r="E1325" s="2224"/>
      <c r="F1325" s="2224"/>
      <c r="G1325" s="2224"/>
      <c r="H1325" s="2224"/>
      <c r="I1325" s="2224"/>
      <c r="J1325" s="2224"/>
      <c r="K1325" s="2224"/>
      <c r="L1325" s="2224"/>
      <c r="N1325" s="2224" t="s">
        <v>4224</v>
      </c>
      <c r="O1325" s="2257"/>
      <c r="P1325" s="2231" t="str">
        <f>'Part VIII-Threshold Criteria'!P85</f>
        <v>N/ap</v>
      </c>
      <c r="Q1325" s="2165"/>
    </row>
    <row r="1326" spans="1:31" s="1853" customFormat="1" ht="12.75" customHeight="1">
      <c r="A1326" s="2256"/>
      <c r="B1326" s="2229" t="s">
        <v>1659</v>
      </c>
      <c r="C1326" s="2224" t="s">
        <v>3952</v>
      </c>
      <c r="D1326" s="2224"/>
      <c r="E1326" s="2224"/>
      <c r="F1326" s="2224"/>
      <c r="G1326" s="2224"/>
      <c r="H1326" s="2224"/>
      <c r="I1326" s="2224"/>
      <c r="J1326" s="2224"/>
      <c r="K1326" s="2224"/>
      <c r="L1326" s="2224"/>
      <c r="N1326" s="2224" t="s">
        <v>4225</v>
      </c>
      <c r="O1326" s="2257"/>
      <c r="P1326" s="2231" t="str">
        <f>'Part VIII-Threshold Criteria'!P86</f>
        <v>Agree</v>
      </c>
      <c r="Q1326" s="2165"/>
    </row>
    <row r="1327" spans="1:31" s="1853" customFormat="1" ht="12.75" customHeight="1">
      <c r="A1327" s="2225"/>
      <c r="B1327" s="2229" t="s">
        <v>1660</v>
      </c>
      <c r="C1327" s="2224" t="s">
        <v>3953</v>
      </c>
      <c r="E1327" s="2224"/>
      <c r="F1327" s="2224"/>
      <c r="G1327" s="2224"/>
      <c r="H1327" s="2224"/>
      <c r="I1327" s="2224"/>
      <c r="J1327" s="2224"/>
      <c r="K1327" s="2224"/>
      <c r="L1327" s="2224"/>
      <c r="M1327" s="2257"/>
      <c r="N1327" s="2224" t="s">
        <v>4226</v>
      </c>
      <c r="O1327" s="2257"/>
      <c r="P1327" s="2231" t="str">
        <f>'Part VIII-Threshold Criteria'!P87</f>
        <v>Agree</v>
      </c>
      <c r="Q1327" s="2165"/>
    </row>
    <row r="1328" spans="1:31" s="1853" customFormat="1" ht="12.75" customHeight="1">
      <c r="A1328" s="2258"/>
      <c r="B1328" s="2229" t="s">
        <v>2260</v>
      </c>
      <c r="C1328" s="2229" t="s">
        <v>3956</v>
      </c>
      <c r="D1328" s="435"/>
      <c r="E1328" s="435"/>
      <c r="F1328" s="435"/>
      <c r="G1328" s="435"/>
      <c r="H1328" s="435"/>
      <c r="I1328" s="1818"/>
      <c r="J1328" s="1818"/>
      <c r="N1328" s="2224" t="s">
        <v>4227</v>
      </c>
      <c r="O1328" s="2257"/>
      <c r="P1328" s="2231" t="str">
        <f>'Part VIII-Threshold Criteria'!P88</f>
        <v>N/Ap</v>
      </c>
      <c r="Q1328" s="2165"/>
    </row>
    <row r="1329" spans="1:31" s="1853" customFormat="1" ht="12.75" customHeight="1">
      <c r="A1329" s="2258"/>
      <c r="B1329" s="2229"/>
      <c r="C1329" s="2224" t="s">
        <v>3957</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3954</v>
      </c>
      <c r="D1330" s="2224"/>
      <c r="E1330" s="2224"/>
      <c r="F1330" s="2224"/>
      <c r="G1330" s="2224"/>
      <c r="H1330" s="2224"/>
      <c r="I1330" s="2224"/>
      <c r="J1330" s="2224"/>
      <c r="K1330" s="2224"/>
      <c r="L1330" s="2224"/>
      <c r="M1330" s="2113"/>
      <c r="N1330" s="2224" t="s">
        <v>4228</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3372</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certifies that they will include the number and kinds of services required in the QAP for the proposed tenancy.</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4219</v>
      </c>
      <c r="C1335" s="2106"/>
      <c r="D1335" s="2229"/>
      <c r="E1335" s="2229"/>
      <c r="F1335" s="2229"/>
      <c r="G1335" s="2229"/>
      <c r="H1335" s="2165" t="str">
        <f>'Part I-Project Information'!$K$41</f>
        <v>Urban</v>
      </c>
      <c r="J1335" s="2256" t="s">
        <v>4222</v>
      </c>
      <c r="K1335" s="435" t="str">
        <f>'Part I-Project Information'!$H$105</f>
        <v>Other Metro</v>
      </c>
      <c r="L1335" s="2256" t="s">
        <v>3986</v>
      </c>
      <c r="M1335" s="2122" t="str">
        <f>'Part I-Project Information'!$H$77</f>
        <v>HFOP</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Novogradac &amp; Company, LLC</v>
      </c>
      <c r="N1337" s="2112"/>
      <c r="O1337" s="2112"/>
      <c r="P1337" s="1977"/>
      <c r="Q1337" s="2165"/>
    </row>
    <row r="1338" spans="1:31" s="1853" customFormat="1" ht="12.75" customHeight="1">
      <c r="A1338" s="2256" t="s">
        <v>1895</v>
      </c>
      <c r="B1338" s="435" t="s">
        <v>4145</v>
      </c>
      <c r="D1338" s="435"/>
      <c r="E1338" s="435"/>
      <c r="F1338" s="435"/>
      <c r="L1338" s="2256" t="s">
        <v>1895</v>
      </c>
      <c r="M1338" s="2112" t="str">
        <f>'Part VIII-Threshold Criteria'!M98</f>
        <v>3-4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0.91200000000000003</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0.10100000000000001</v>
      </c>
      <c r="L1340" s="2262"/>
      <c r="N1340" s="2263"/>
      <c r="O1340" s="2264" t="s">
        <v>3540</v>
      </c>
      <c r="P1340" s="2261" t="str">
        <f>'Part VIII-Threshold Criteria'!P100</f>
        <v>N/A</v>
      </c>
      <c r="Q1340" s="2262"/>
    </row>
    <row r="1341" spans="1:31" s="1853" customFormat="1" ht="12.75" customHeight="1">
      <c r="A1341" s="2256" t="s">
        <v>1656</v>
      </c>
      <c r="B1341" s="435" t="s">
        <v>4146</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2018-045</v>
      </c>
      <c r="E1343" s="2112" t="str">
        <f>'Part VIII-Threshold Criteria'!E103</f>
        <v>Altoview Terrace</v>
      </c>
      <c r="F1343" s="2112"/>
      <c r="G1343" s="2112"/>
      <c r="H1343" s="2256" t="s">
        <v>1660</v>
      </c>
      <c r="I1343" s="2231" t="str">
        <f>'Part VIII-Threshold Criteria'!I103</f>
        <v>2015-055</v>
      </c>
      <c r="J1343" s="2112" t="str">
        <f>'Part VIII-Threshold Criteria'!J103</f>
        <v>Burrell Square</v>
      </c>
      <c r="K1343" s="2112"/>
      <c r="L1343" s="2112"/>
      <c r="M1343" s="2256" t="s">
        <v>1487</v>
      </c>
      <c r="N1343" s="2231" t="str">
        <f>'Part VIII-Threshold Criteria'!N103</f>
        <v>2013-040</v>
      </c>
      <c r="O1343" s="2112" t="str">
        <f>'Part VIII-Threshold Criteria'!O103</f>
        <v>Greystone Apartments</v>
      </c>
      <c r="P1343" s="2112"/>
      <c r="Q1343" s="2112"/>
    </row>
    <row r="1344" spans="1:31" s="1853" customFormat="1" ht="12.75" customHeight="1">
      <c r="C1344" s="2256" t="s">
        <v>1659</v>
      </c>
      <c r="D1344" s="2231" t="str">
        <f>'Part VIII-Threshold Criteria'!D104</f>
        <v>2020-032</v>
      </c>
      <c r="E1344" s="2112" t="str">
        <f>'Part VIII-Threshold Criteria'!E104</f>
        <v>South Meadows</v>
      </c>
      <c r="F1344" s="2112"/>
      <c r="G1344" s="2112"/>
      <c r="H1344" s="2256" t="s">
        <v>2260</v>
      </c>
      <c r="I1344" s="2231" t="str">
        <f>'Part VIII-Threshold Criteria'!I104</f>
        <v>2009-002</v>
      </c>
      <c r="J1344" s="2112" t="str">
        <f>'Part VIII-Threshold Criteria'!J104</f>
        <v>Etowah Terrace</v>
      </c>
      <c r="K1344" s="2112"/>
      <c r="L1344" s="2112"/>
      <c r="M1344" s="2256" t="s">
        <v>1488</v>
      </c>
      <c r="N1344" s="2231" t="str">
        <f>'Part VIII-Threshold Criteria'!N104</f>
        <v>2014-028</v>
      </c>
      <c r="O1344" s="2112" t="str">
        <f>'Part VIII-Threshold Criteria'!O104</f>
        <v>Highland Estates</v>
      </c>
      <c r="P1344" s="2112"/>
      <c r="Q1344" s="2112"/>
    </row>
    <row r="1345" spans="1:31" s="1853" customFormat="1" ht="12.75" customHeight="1">
      <c r="A1345" s="2256" t="s">
        <v>1657</v>
      </c>
      <c r="B1345" s="435" t="s">
        <v>6324</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6326</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6328</v>
      </c>
      <c r="D1347" s="435"/>
      <c r="E1347" s="435"/>
      <c r="F1347" s="435"/>
      <c r="G1347" s="435"/>
      <c r="H1347" s="435"/>
      <c r="I1347" s="1818"/>
      <c r="J1347" s="1818"/>
      <c r="K1347" s="435"/>
      <c r="L1347" s="2122"/>
      <c r="M1347" s="2122"/>
      <c r="O1347" s="2256" t="s">
        <v>3124</v>
      </c>
      <c r="P1347" s="2261">
        <f>'Part VIII-Threshold Criteria'!P107</f>
        <v>0.95</v>
      </c>
      <c r="Q1347" s="2262"/>
    </row>
    <row r="1348" spans="1:31" s="2159" customFormat="1" ht="60" customHeight="1">
      <c r="A1348" s="2225" t="s">
        <v>586</v>
      </c>
      <c r="B1348" s="2224" t="s">
        <v>7045</v>
      </c>
      <c r="C1348" s="2224"/>
      <c r="D1348" s="2224"/>
      <c r="E1348" s="2224"/>
      <c r="F1348" s="2224"/>
      <c r="G1348" s="2224"/>
      <c r="H1348" s="2224"/>
      <c r="I1348" s="2224"/>
      <c r="J1348" s="2224"/>
      <c r="K1348" s="2224"/>
      <c r="L1348" s="2224"/>
      <c r="M1348" s="2224"/>
      <c r="N1348" s="2224"/>
      <c r="O1348" s="2225" t="s">
        <v>6327</v>
      </c>
      <c r="P1348" s="2265" t="str">
        <f>'Part VIII-Threshold Criteria'!P108</f>
        <v>Yes</v>
      </c>
      <c r="Q1348" s="2253"/>
    </row>
    <row r="1349" spans="1:31" s="1818" customFormat="1" ht="12.75" customHeight="1">
      <c r="A1349" s="2256"/>
      <c r="B1349" s="2229" t="s">
        <v>1659</v>
      </c>
      <c r="C1349" s="435" t="s">
        <v>4275</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3372</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feasibility analysis provided by Novogradac &amp; Company, LLC recommends the subject property as proposed and offers ample data to support that conclusion. Projected and comparable absorption rates are strong, capture rates are relatively low, and market occupancy with exception of one comparable property that is renovating a large number of units is strong as well. Many of the comparable properties are full with a waiting list and have similar or slightly inferior construction and amenities. Please see Tab 5 for the market study.
Other DCA funded properties in the primary market area include: Park Homes (2017-513), High Rise (2017-514), Wilingham Village (2014-531) and Meadow Lane Apartments (2017-507)</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4229</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4012</v>
      </c>
      <c r="O1358" s="2256" t="s">
        <v>1659</v>
      </c>
      <c r="P1358" s="2231">
        <f>'Part VIII-Threshold Criteria'!P118</f>
        <v>0</v>
      </c>
      <c r="Q1358" s="2165"/>
    </row>
    <row r="1359" spans="1:31" s="1818" customFormat="1" ht="12.75" customHeight="1">
      <c r="B1359" s="2229" t="s">
        <v>1660</v>
      </c>
      <c r="C1359" s="435" t="s">
        <v>4256</v>
      </c>
      <c r="O1359" s="2225" t="s">
        <v>1660</v>
      </c>
      <c r="P1359" s="2266">
        <f>'Part VIII-Threshold Criteria'!P119</f>
        <v>0</v>
      </c>
      <c r="Q1359" s="2267"/>
    </row>
    <row r="1360" spans="1:31" s="1853" customFormat="1" ht="12.75" customHeight="1">
      <c r="A1360" s="2165"/>
      <c r="B1360" s="2229" t="s">
        <v>2260</v>
      </c>
      <c r="C1360" s="2122" t="s">
        <v>3958</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4148</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4147</v>
      </c>
      <c r="C1365" s="435"/>
      <c r="E1365" s="435"/>
      <c r="F1365" s="435"/>
      <c r="G1365" s="435"/>
      <c r="H1365" s="435"/>
      <c r="I1365" s="435"/>
      <c r="J1365" s="435"/>
      <c r="K1365" s="435"/>
      <c r="L1365" s="435"/>
      <c r="M1365" s="435"/>
      <c r="O1365" s="2256" t="s">
        <v>1895</v>
      </c>
      <c r="P1365" s="2231" t="str">
        <f>'Part VIII-Threshold Criteria'!P125</f>
        <v>No</v>
      </c>
      <c r="Q1365" s="2165"/>
    </row>
    <row r="1366" spans="1:31" s="1853" customFormat="1" ht="12.75" customHeight="1">
      <c r="B1366" s="2229" t="s">
        <v>1658</v>
      </c>
      <c r="C1366" s="435" t="s">
        <v>4278</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4277</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3372</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There is not an identity of interest between the buyer and seller. An appraisal is not included in the application.</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6439</v>
      </c>
      <c r="D1374" s="435"/>
      <c r="E1374" s="435"/>
      <c r="F1374" s="435"/>
      <c r="G1374" s="435"/>
      <c r="H1374" s="435"/>
      <c r="I1374" s="1818"/>
      <c r="J1374" s="1818"/>
      <c r="K1374" s="2256" t="s">
        <v>1893</v>
      </c>
      <c r="L1374" s="2184" t="str">
        <f>'Part VIII-Threshold Criteria'!L134</f>
        <v>Geotechnical &amp; Environmental Consultants, Inc.</v>
      </c>
      <c r="M1374" s="2184"/>
      <c r="N1374" s="2184"/>
      <c r="O1374" s="2184"/>
      <c r="P1374" s="2184"/>
      <c r="Q1374" s="2165"/>
    </row>
    <row r="1375" spans="1:31" s="1853" customFormat="1" ht="12" customHeight="1">
      <c r="B1375" s="2113" t="s">
        <v>6440</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f>'Part VIII-Threshold Criteria'!P139</f>
        <v>67</v>
      </c>
      <c r="Q1379" s="2165"/>
    </row>
    <row r="1380" spans="1:17" s="1853" customFormat="1" ht="12" customHeight="1">
      <c r="A1380" s="2142"/>
      <c r="B1380" s="2122" t="s">
        <v>1660</v>
      </c>
      <c r="C1380" s="435" t="s">
        <v>3944</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4039</v>
      </c>
      <c r="I1382" s="435" t="s">
        <v>6329</v>
      </c>
      <c r="K1382" s="2231" t="str">
        <f>'Part VIII-Threshold Criteria'!K142</f>
        <v>No</v>
      </c>
      <c r="L1382" s="2165"/>
      <c r="M1382" s="2256" t="s">
        <v>4043</v>
      </c>
      <c r="N1382" s="2113" t="s">
        <v>3418</v>
      </c>
      <c r="O1382" s="2122"/>
      <c r="P1382" s="2231" t="str">
        <f>'Part VIII-Threshold Criteria'!P142</f>
        <v>No</v>
      </c>
      <c r="Q1382" s="2165"/>
    </row>
    <row r="1383" spans="1:17" s="1853" customFormat="1" ht="12.75" customHeight="1">
      <c r="B1383" s="2122" t="s">
        <v>1659</v>
      </c>
      <c r="C1383" s="435" t="s">
        <v>6441</v>
      </c>
      <c r="E1383" s="435"/>
      <c r="F1383" s="2231" t="str">
        <f>'Part VIII-Threshold Criteria'!F143</f>
        <v>No</v>
      </c>
      <c r="G1383" s="2165"/>
      <c r="H1383" s="2256" t="s">
        <v>4040</v>
      </c>
      <c r="I1383" s="435" t="s">
        <v>6330</v>
      </c>
      <c r="K1383" s="2231" t="str">
        <f>'Part VIII-Threshold Criteria'!K143</f>
        <v>Yes</v>
      </c>
      <c r="L1383" s="2165"/>
      <c r="M1383" s="2256" t="s">
        <v>4044</v>
      </c>
      <c r="N1383" s="435" t="s">
        <v>1489</v>
      </c>
      <c r="P1383" s="2231" t="str">
        <f>'Part VIII-Threshold Criteria'!P143</f>
        <v>No</v>
      </c>
      <c r="Q1383" s="2165"/>
    </row>
    <row r="1384" spans="1:17" s="1853" customFormat="1" ht="12" customHeight="1">
      <c r="A1384" s="435"/>
      <c r="B1384" s="2122" t="s">
        <v>1660</v>
      </c>
      <c r="C1384" s="435" t="s">
        <v>6442</v>
      </c>
      <c r="E1384" s="435"/>
      <c r="F1384" s="2231" t="str">
        <f>'Part VIII-Threshold Criteria'!F144</f>
        <v>No</v>
      </c>
      <c r="G1384" s="2165"/>
      <c r="H1384" s="2256" t="s">
        <v>4041</v>
      </c>
      <c r="I1384" s="2113" t="s">
        <v>6443</v>
      </c>
      <c r="K1384" s="2231" t="str">
        <f>'Part VIII-Threshold Criteria'!K144</f>
        <v>Yes</v>
      </c>
      <c r="L1384" s="2165"/>
      <c r="M1384" s="2256" t="s">
        <v>6444</v>
      </c>
      <c r="N1384" s="2113" t="s">
        <v>6331</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4042</v>
      </c>
      <c r="I1385" s="2224" t="s">
        <v>6446</v>
      </c>
      <c r="J1385" s="2224"/>
      <c r="K1385" s="2224"/>
      <c r="M1385" s="2256" t="s">
        <v>6445</v>
      </c>
      <c r="N1385" s="435" t="s">
        <v>141</v>
      </c>
      <c r="P1385" s="2231" t="str">
        <f>'Part VIII-Threshold Criteria'!P145</f>
        <v>No</v>
      </c>
      <c r="Q1385" s="2165"/>
    </row>
    <row r="1386" spans="1:17" s="1853" customFormat="1" ht="12" customHeight="1">
      <c r="A1386" s="435"/>
      <c r="B1386" s="2256" t="s">
        <v>4038</v>
      </c>
      <c r="C1386" s="435" t="s">
        <v>2611</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6465</v>
      </c>
      <c r="C1387" s="435" t="s">
        <v>2612</v>
      </c>
      <c r="E1387" s="435"/>
      <c r="F1387" s="435"/>
      <c r="G1387" s="435"/>
      <c r="H1387" s="435"/>
      <c r="I1387" s="435"/>
      <c r="J1387" s="435"/>
      <c r="K1387" s="435"/>
      <c r="L1387" s="435"/>
      <c r="M1387" s="435"/>
      <c r="O1387" s="2256"/>
      <c r="P1387" s="2256"/>
    </row>
    <row r="1388" spans="1:17" s="1853" customFormat="1" ht="12" customHeight="1">
      <c r="A1388" s="435"/>
      <c r="C1388" s="2112">
        <f>'Part VIII-Threshold Criteria'!C148</f>
        <v>0</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3260</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4025</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4149</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7121</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3372</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Please see Tab 07 for the Environmental Phase I Report, which includes the Noise Attenuation Plan. Following best practices, the development team will develop an abatement approach to ensure proper abatement of the identified asbestor containing materials.</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7046</v>
      </c>
      <c r="D1403" s="435"/>
      <c r="E1403" s="435"/>
      <c r="F1403" s="435"/>
      <c r="G1403" s="435"/>
      <c r="K1403" s="435" t="s">
        <v>2555</v>
      </c>
      <c r="M1403" s="2268">
        <f>'Part VIII-Threshold Criteria'!M163</f>
        <v>44561</v>
      </c>
      <c r="N1403" s="2268"/>
      <c r="O1403" s="2256" t="s">
        <v>1658</v>
      </c>
      <c r="P1403" s="2231" t="str">
        <f>'Part VIII-Threshold Criteria'!P163</f>
        <v>Yes</v>
      </c>
      <c r="Q1403" s="2165"/>
    </row>
    <row r="1404" spans="1:31" s="1853" customFormat="1" ht="12" customHeight="1">
      <c r="A1404" s="2256"/>
      <c r="B1404" s="2122" t="s">
        <v>1659</v>
      </c>
      <c r="C1404" s="435" t="s">
        <v>7047</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Sparrow Pointe Housing, LP</v>
      </c>
      <c r="L1406" s="2112"/>
      <c r="M1406" s="2112"/>
      <c r="N1406" s="2112"/>
      <c r="O1406" s="2112"/>
      <c r="P1406" s="2112"/>
      <c r="Q1406" s="2165"/>
    </row>
    <row r="1407" spans="1:31" s="1853" customFormat="1" ht="21.75" customHeight="1">
      <c r="A1407" s="2225" t="s">
        <v>2021</v>
      </c>
      <c r="B1407" s="2224" t="s">
        <v>6447</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3372</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Site Contral documentation is included in Tab 08 of the application showing site control through December 31, 2020. Pre-Contract Agreement will not be submitted as HOME funds have not been allocated.</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3366</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3959</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3367</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4007</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3372</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Site access is provided by a legally accessible paved road and documentation is provided in Tab 9 of the application.</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6377</v>
      </c>
      <c r="O1423" s="2225" t="s">
        <v>1781</v>
      </c>
      <c r="P1423" s="1719"/>
      <c r="Q1423" s="1719"/>
    </row>
    <row r="1424" spans="1:44" s="1853" customFormat="1" ht="11.45" customHeight="1">
      <c r="B1424" s="2113" t="s">
        <v>6448</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6333</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4009</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7122</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3368</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3372</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A zoning certification provided by Rome-Floyd County Planning Department is found in Tab 10 of the application.</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6377</v>
      </c>
      <c r="G1441" s="2229"/>
      <c r="J1441" s="2224"/>
      <c r="K1441" s="2224"/>
      <c r="L1441" s="2224"/>
      <c r="M1441" s="2224"/>
      <c r="N1441" s="2224"/>
      <c r="O1441" s="2225" t="s">
        <v>1781</v>
      </c>
      <c r="P1441" s="1719"/>
      <c r="Q1441" s="1719"/>
    </row>
    <row r="1442" spans="1:44" s="1853" customFormat="1" ht="12.75" customHeight="1">
      <c r="B1442" s="2113" t="s">
        <v>6448</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f>'Part VIII-Threshold Criteria'!J204</f>
        <v>0</v>
      </c>
      <c r="K1444" s="2112"/>
      <c r="L1444" s="2112"/>
      <c r="M1444" s="2112"/>
      <c r="N1444" s="2112"/>
      <c r="O1444" s="2256" t="s">
        <v>1658</v>
      </c>
      <c r="P1444" s="2231">
        <f>'Part VIII-Threshold Criteria'!P204</f>
        <v>0</v>
      </c>
      <c r="Q1444" s="2165"/>
    </row>
    <row r="1445" spans="1:44" s="1853" customFormat="1" ht="12.75" customHeight="1">
      <c r="A1445" s="2142"/>
      <c r="B1445" s="2171" t="s">
        <v>3372</v>
      </c>
      <c r="C1445" s="2159"/>
      <c r="D1445" s="2159"/>
      <c r="E1445" s="2159"/>
      <c r="F1445" s="2159"/>
      <c r="H1445" s="2256" t="s">
        <v>1659</v>
      </c>
      <c r="I1445" s="435" t="s">
        <v>1530</v>
      </c>
      <c r="J1445" s="2112" t="str">
        <f>'Part VIII-Threshold Criteria'!J205</f>
        <v>Georgia Power Company</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Please see Tab 11 for documentation from the appropriate utility company confirming the availability of operating utilities at the proposed development site.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6378</v>
      </c>
      <c r="J1450" s="2229"/>
      <c r="K1450" s="2229"/>
      <c r="L1450" s="2229"/>
      <c r="M1450" s="2229"/>
      <c r="O1450" s="2225" t="s">
        <v>1781</v>
      </c>
      <c r="P1450" s="1719"/>
      <c r="Q1450" s="1719"/>
    </row>
    <row r="1451" spans="1:44" s="1853" customFormat="1" ht="12.75" customHeight="1">
      <c r="B1451" s="2113" t="s">
        <v>6448</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City of Rome</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Rome</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t="str">
        <f>'Part VIII-Threshold Criteria'!P214</f>
        <v>No</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3372</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Please see Tab 12 for documentation from the verifiable authorized public water/sanitary sewer/storm water authority stating water/sewer services are available at the proposed development site.</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7123</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3945</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3946</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7124</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7048</v>
      </c>
      <c r="D1468" s="435"/>
      <c r="E1468" s="435"/>
      <c r="F1468" s="435"/>
      <c r="G1468" s="435"/>
      <c r="H1468" s="435"/>
      <c r="I1468" s="435"/>
      <c r="J1468" s="435"/>
      <c r="K1468" s="1818"/>
      <c r="L1468" s="1818"/>
      <c r="M1468" s="1818"/>
      <c r="N1468" s="2256" t="s">
        <v>3273</v>
      </c>
      <c r="O1468" s="2274">
        <f>'Part VI-Revenues &amp; Expenses'!$P$67</f>
        <v>50</v>
      </c>
      <c r="P1468" s="2113" t="s">
        <v>4035</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4036</v>
      </c>
      <c r="D1469" s="435"/>
      <c r="E1469" s="435"/>
      <c r="F1469" s="435"/>
      <c r="H1469" s="2256" t="s">
        <v>4037</v>
      </c>
      <c r="I1469" s="435" t="s">
        <v>7125</v>
      </c>
      <c r="M1469" s="1818"/>
      <c r="N1469" s="1818"/>
      <c r="O1469" s="2045"/>
      <c r="P1469" s="2130" t="s">
        <v>743</v>
      </c>
      <c r="Q1469" s="2130" t="s">
        <v>4034</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 xml:space="preserve">Equipped Computer Center and WiFi </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Furnished Exercise /Fitness Center</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Fenced community gardens</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4045</v>
      </c>
      <c r="C1473" s="2227">
        <f>'Part VIII-Threshold Criteria'!C233</f>
        <v>0</v>
      </c>
      <c r="D1473" s="2227"/>
      <c r="E1473" s="2227"/>
      <c r="F1473" s="2227"/>
      <c r="G1473" s="2227"/>
      <c r="H1473" s="2256" t="s">
        <v>4045</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6335</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6450</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6311</v>
      </c>
      <c r="C1481" s="435"/>
      <c r="E1481" s="435"/>
      <c r="F1481" s="435"/>
      <c r="G1481" s="435"/>
      <c r="H1481" s="435"/>
      <c r="I1481" s="435"/>
      <c r="J1481" s="435"/>
      <c r="K1481" s="1818"/>
      <c r="M1481" s="2122" t="str">
        <f>'Part I-Project Information'!$H$77</f>
        <v>HFOP</v>
      </c>
      <c r="O1481" s="2256" t="s">
        <v>2021</v>
      </c>
      <c r="P1481" s="2231" t="str">
        <f>'Part VIII-Threshold Criteria'!P241</f>
        <v>Agree</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t="str">
        <f>'Part VIII-Threshold Criteria'!P242</f>
        <v>Yes</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3960</v>
      </c>
      <c r="E1483" s="1818"/>
      <c r="F1483" s="1818"/>
      <c r="G1483" s="2122"/>
      <c r="H1483" s="2122"/>
      <c r="I1483" s="1818"/>
      <c r="J1483" s="2122"/>
      <c r="K1483" s="1818"/>
      <c r="L1483" s="2122"/>
      <c r="M1483" s="2122"/>
      <c r="O1483" s="2256" t="s">
        <v>1659</v>
      </c>
      <c r="P1483" s="2231" t="str">
        <f>'Part VIII-Threshold Criteria'!P243</f>
        <v>Yes</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3372</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provide Standard Site Amenities in conformance with DCA Amenities Guidebook.</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6336</v>
      </c>
      <c r="C1488" s="2122"/>
      <c r="D1488" s="2229"/>
      <c r="E1488" s="2229"/>
      <c r="F1488" s="2229"/>
      <c r="G1488" s="2229"/>
      <c r="H1488" s="2229"/>
      <c r="I1488" s="2229"/>
      <c r="J1488" s="2229"/>
      <c r="K1488" s="2165" t="s">
        <v>431</v>
      </c>
      <c r="L1488" s="2165" t="str">
        <f>'Part I-Project Information'!$N$40</f>
        <v>Yes</v>
      </c>
      <c r="M1488" s="2229"/>
      <c r="O1488" s="2225" t="s">
        <v>1781</v>
      </c>
      <c r="P1488" s="1719"/>
      <c r="Q1488" s="1719"/>
    </row>
    <row r="1489" spans="1:44" s="1853" customFormat="1" ht="11.25" customHeight="1">
      <c r="A1489" s="2225" t="s">
        <v>1893</v>
      </c>
      <c r="B1489" s="2224" t="s">
        <v>6339</v>
      </c>
    </row>
    <row r="1490" spans="1:44" s="1853" customFormat="1" ht="10.5" customHeight="1">
      <c r="A1490" s="2225"/>
      <c r="B1490" s="435" t="s">
        <v>6341</v>
      </c>
      <c r="C1490" s="1818"/>
      <c r="D1490" s="1818"/>
      <c r="E1490" s="1818"/>
      <c r="F1490" s="1818"/>
      <c r="G1490" s="1818"/>
      <c r="H1490" s="1818"/>
      <c r="I1490" s="1818"/>
      <c r="J1490" s="2045" t="s">
        <v>6340</v>
      </c>
      <c r="K1490" s="435" t="s">
        <v>6341</v>
      </c>
      <c r="L1490" s="1818"/>
      <c r="M1490" s="1818"/>
      <c r="N1490" s="1818"/>
      <c r="O1490" s="1818"/>
      <c r="P1490" s="1818"/>
      <c r="Q1490" s="2045" t="s">
        <v>6340</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6342</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6338</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6337</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3372</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4150</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6451</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6452</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6453</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6463</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6464</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3377</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7126</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3372</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N/A - Project is new construction.</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4232</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3374</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3375</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4259</v>
      </c>
      <c r="D1531" s="2224"/>
      <c r="E1531" s="2224"/>
      <c r="F1531" s="2224"/>
      <c r="G1531" s="2224"/>
      <c r="H1531" s="2224"/>
      <c r="I1531" s="2224"/>
      <c r="J1531" s="2224"/>
      <c r="K1531" s="2224"/>
      <c r="L1531" s="2224"/>
      <c r="M1531" s="2224"/>
      <c r="N1531" s="2224"/>
      <c r="O1531" s="2225" t="s">
        <v>4260</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3376</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6343</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3372</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The Conceptual Site Development Plan included in the application has been prepared in accordance with all instructions set forth in the DCA Submission Requirement Manual and Qualified Allocation Plan. A location and vicinity map, ground level color photos and adjacent surrounding properties and structures and aerial color photos are included in Tab 16 of the application.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6451</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6455</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4026</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6454</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6456</v>
      </c>
      <c r="D1546" s="1818"/>
      <c r="E1546" s="1818"/>
      <c r="N1546" s="2284" t="s">
        <v>6457</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3372</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agrees that the property will comply with GA State Minimum Standard Energy Code in effect at the time of permit issuance. Applicant will obtain a sustainable building certificate from Earth Craft House Multifamily.</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6451</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7049</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4258</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6458</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7050</v>
      </c>
      <c r="E1559" s="2224"/>
      <c r="F1559" s="2224"/>
      <c r="G1559" s="2224"/>
      <c r="H1559" s="2224"/>
      <c r="I1559" s="2224"/>
      <c r="J1559" s="2113" t="s">
        <v>3400</v>
      </c>
      <c r="K1559" s="2113"/>
      <c r="L1559" s="2113"/>
      <c r="M1559" s="2288" t="s">
        <v>3379</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3380</v>
      </c>
      <c r="N1560" s="2165" t="s">
        <v>3399</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3288</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7051</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7052</v>
      </c>
      <c r="D1564" s="2224"/>
      <c r="E1564" s="2224"/>
      <c r="F1564" s="2224"/>
      <c r="G1564" s="2224"/>
      <c r="H1564" s="2224"/>
      <c r="I1564" s="435" t="s">
        <v>3539</v>
      </c>
      <c r="J1564" s="1857"/>
      <c r="K1564" s="2289">
        <f>'Part VIII-Threshold Criteria'!K324</f>
        <v>1</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3290</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3291</v>
      </c>
      <c r="D1569" s="2224"/>
      <c r="E1569" s="2224"/>
      <c r="F1569" s="2224"/>
      <c r="G1569" s="2224"/>
      <c r="H1569" s="2224"/>
      <c r="I1569" s="2224" t="s">
        <v>3378</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3289</v>
      </c>
      <c r="D1570" s="2224"/>
      <c r="E1570" s="2224"/>
      <c r="F1570" s="2224"/>
      <c r="G1570" s="2224"/>
      <c r="H1570" s="2224"/>
      <c r="I1570" s="2224"/>
      <c r="J1570" s="2224"/>
      <c r="K1570" s="2224"/>
      <c r="L1570" s="2224"/>
      <c r="M1570" s="2224"/>
      <c r="N1570" s="2224"/>
      <c r="O1570" s="2225" t="s">
        <v>3294</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4008</v>
      </c>
      <c r="D1571" s="2224"/>
      <c r="E1571" s="2224"/>
      <c r="F1571" s="2224"/>
      <c r="G1571" s="2224"/>
      <c r="H1571" s="2224"/>
      <c r="I1571" s="2224"/>
      <c r="J1571" s="2224"/>
      <c r="K1571" s="2224"/>
      <c r="L1571" s="2224"/>
      <c r="M1571" s="2224"/>
      <c r="N1571" s="2224"/>
      <c r="O1571" s="2225" t="s">
        <v>3295</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3292</v>
      </c>
      <c r="D1572" s="2224"/>
      <c r="E1572" s="2224"/>
      <c r="F1572" s="2224"/>
      <c r="G1572" s="2224"/>
      <c r="H1572" s="2224"/>
      <c r="I1572" s="2224"/>
      <c r="J1572" s="2224"/>
      <c r="K1572" s="2224"/>
      <c r="L1572" s="2224"/>
      <c r="M1572" s="2224"/>
      <c r="N1572" s="2224"/>
      <c r="O1572" s="2225" t="s">
        <v>3296</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3293</v>
      </c>
      <c r="D1573" s="2224"/>
      <c r="E1573" s="2224"/>
      <c r="F1573" s="2224"/>
      <c r="G1573" s="2224"/>
      <c r="H1573" s="2224"/>
      <c r="I1573" s="2224"/>
      <c r="J1573" s="2224"/>
      <c r="K1573" s="2224"/>
      <c r="L1573" s="2224"/>
      <c r="M1573" s="2224"/>
      <c r="N1573" s="2224"/>
      <c r="O1573" s="2225" t="s">
        <v>3297</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3372</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Project will meet all accessibility standards and will retain a DCA qualified consultant to monitor the project for accessibility compliance who will not be a member of the project team.</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3947</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7053</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6344</v>
      </c>
      <c r="D1588" s="2224"/>
      <c r="E1588" s="2224"/>
      <c r="F1588" s="2224"/>
      <c r="G1588" s="1865" t="s">
        <v>6345</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6611</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6612</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7054</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3372</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agrees the project will meet the standards for quality and longevity.</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6376</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3415</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Probationary Certifying GP/Dev</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3372</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Please see Tab 20 for the Qualification Determination letter. The project team Qualified under Probationary Participation (all probationary participants are limited to being a certifying entity in one propety in the 2021 round). The proposed application is the only property the certifying entity is submitting in the 2021 round.</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6347</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7055</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50</v>
      </c>
      <c r="F1611" s="435" t="s">
        <v>4078</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6348</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6349</v>
      </c>
      <c r="D1613" s="435"/>
      <c r="E1613" s="435"/>
      <c r="F1613" s="435"/>
      <c r="G1613" s="435"/>
      <c r="H1613" s="435"/>
      <c r="I1613" s="435"/>
      <c r="J1613" s="435"/>
      <c r="M1613" s="2297">
        <f>'Part VIII-Threshold Criteria'!M373</f>
        <v>0</v>
      </c>
      <c r="N1613" s="2297"/>
    </row>
    <row r="1614" spans="1:44" s="1853" customFormat="1" ht="10.5" customHeight="1">
      <c r="B1614" s="2171" t="s">
        <v>3372</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N/A</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7127</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3372</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N/A</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3331</v>
      </c>
      <c r="G1639" s="2122"/>
      <c r="H1639" s="2122"/>
      <c r="I1639" s="2122"/>
      <c r="J1639" s="2122" t="s">
        <v>3332</v>
      </c>
      <c r="L1639" s="2122"/>
      <c r="M1639" s="2298">
        <f>'Part III-Sources of Funds'!H1196</f>
        <v>0</v>
      </c>
      <c r="N1639" s="2298"/>
      <c r="O1639" s="2225" t="s">
        <v>719</v>
      </c>
      <c r="P1639" s="2231">
        <f>'Part VIII-Threshold Criteria'!P399</f>
        <v>0</v>
      </c>
      <c r="Q1639" s="2165"/>
    </row>
    <row r="1640" spans="1:31" s="1853" customFormat="1" ht="11.25" customHeight="1">
      <c r="B1640" s="2171" t="s">
        <v>3372</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N/A</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f>'Part VIII-Threshold Criteria'!P406</f>
        <v>0</v>
      </c>
      <c r="Q1646" s="2165"/>
    </row>
    <row r="1647" spans="1:31" s="1853" customFormat="1" ht="12" customHeight="1">
      <c r="A1647" s="2256" t="s">
        <v>1895</v>
      </c>
      <c r="B1647" s="435" t="s">
        <v>3264</v>
      </c>
      <c r="D1647" s="2224"/>
      <c r="E1647" s="2224"/>
      <c r="O1647" s="2256" t="s">
        <v>1895</v>
      </c>
      <c r="P1647" s="2231">
        <f>'Part VIII-Threshold Criteria'!P407</f>
        <v>0</v>
      </c>
      <c r="Q1647" s="2165"/>
    </row>
    <row r="1648" spans="1:31" s="1853" customFormat="1" ht="12" customHeight="1">
      <c r="A1648" s="2256" t="s">
        <v>719</v>
      </c>
      <c r="B1648" s="435" t="s">
        <v>4233</v>
      </c>
      <c r="D1648" s="2224"/>
      <c r="E1648" s="2224"/>
      <c r="O1648" s="2256" t="s">
        <v>719</v>
      </c>
      <c r="P1648" s="2231">
        <f>'Part VIII-Threshold Criteria'!P408</f>
        <v>0</v>
      </c>
      <c r="Q1648" s="2165"/>
    </row>
    <row r="1649" spans="1:31" s="1853" customFormat="1" ht="12" customHeight="1">
      <c r="A1649" s="2256" t="s">
        <v>2021</v>
      </c>
      <c r="B1649" s="435" t="s">
        <v>3265</v>
      </c>
      <c r="E1649" s="2224"/>
      <c r="O1649" s="2256" t="s">
        <v>2021</v>
      </c>
      <c r="P1649" s="2231">
        <f>'Part VIII-Threshold Criteria'!P409</f>
        <v>0</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3372</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N/A</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4135</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6546</v>
      </c>
      <c r="O1657" s="2256"/>
      <c r="P1657" s="2231">
        <f>'Part VIII-Threshold Criteria'!P417</f>
        <v>0</v>
      </c>
      <c r="Q1657" s="2165"/>
    </row>
    <row r="1658" spans="1:31" s="1853" customFormat="1" ht="12" customHeight="1">
      <c r="A1658" s="2256" t="s">
        <v>1893</v>
      </c>
      <c r="B1658" s="435" t="s">
        <v>4134</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4234</v>
      </c>
      <c r="D1660" s="2113" t="s">
        <v>4235</v>
      </c>
      <c r="E1660" s="1818"/>
      <c r="F1660" s="1818"/>
      <c r="G1660" s="1818"/>
      <c r="H1660" s="1818"/>
      <c r="I1660" s="1818"/>
      <c r="J1660" s="1818"/>
      <c r="K1660" s="1818"/>
      <c r="L1660" s="1818"/>
      <c r="M1660" s="1818"/>
      <c r="N1660" s="1818"/>
      <c r="O1660" s="2256" t="s">
        <v>4234</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4138</v>
      </c>
      <c r="D1663" s="435" t="s">
        <v>3261</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6400</v>
      </c>
      <c r="D1665" s="2224"/>
      <c r="E1665" s="2224"/>
      <c r="F1665" s="2224"/>
      <c r="G1665" s="435" t="s">
        <v>4139</v>
      </c>
      <c r="J1665" s="2138">
        <f>'Part VIII-Threshold Criteria'!J425</f>
        <v>0</v>
      </c>
      <c r="K1665" s="2118"/>
      <c r="M1665" s="435" t="s">
        <v>6492</v>
      </c>
      <c r="P1665" s="2138">
        <f>'Part VIII-Threshold Criteria'!P425</f>
        <v>0</v>
      </c>
      <c r="Q1665" s="2118"/>
    </row>
    <row r="1666" spans="1:44" s="1853" customFormat="1" ht="12" customHeight="1">
      <c r="A1666" s="2256"/>
      <c r="C1666" s="2224"/>
      <c r="D1666" s="2224"/>
      <c r="E1666" s="2224"/>
      <c r="F1666" s="2224"/>
      <c r="G1666" s="435" t="s">
        <v>6491</v>
      </c>
      <c r="J1666" s="2138">
        <f>'Part VIII-Threshold Criteria'!J426</f>
        <v>0</v>
      </c>
      <c r="K1666" s="2118"/>
      <c r="M1666" s="435" t="s">
        <v>6493</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6434</v>
      </c>
      <c r="J1668" s="2113" t="s">
        <v>6435</v>
      </c>
      <c r="K1668" s="2113" t="s">
        <v>6437</v>
      </c>
      <c r="L1668" s="2113"/>
      <c r="M1668" s="2113"/>
      <c r="N1668" s="2113" t="s">
        <v>6436</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6599</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6438</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6600</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4010</v>
      </c>
      <c r="E1679" s="2122"/>
      <c r="F1679" s="2122"/>
      <c r="G1679" s="2122"/>
      <c r="J1679" s="1818"/>
      <c r="K1679" s="2122"/>
      <c r="L1679" s="2122"/>
      <c r="M1679" s="1818"/>
      <c r="N1679" s="2256"/>
      <c r="P1679" s="2256"/>
      <c r="Q1679" s="2256"/>
    </row>
    <row r="1680" spans="1:44" s="1853" customFormat="1" ht="12" customHeight="1">
      <c r="A1680" s="2256"/>
      <c r="B1680" s="2113"/>
      <c r="C1680" s="2122" t="s">
        <v>6495</v>
      </c>
      <c r="E1680" s="2122"/>
      <c r="F1680" s="2122"/>
      <c r="L1680" s="2122"/>
      <c r="M1680" s="2122"/>
      <c r="O1680" s="2256" t="s">
        <v>2324</v>
      </c>
      <c r="P1680" s="2231" t="str">
        <f>'Part VIII-Threshold Criteria'!P440</f>
        <v>&lt;&lt;Select&gt;&gt;</v>
      </c>
      <c r="Q1680" s="2165"/>
    </row>
    <row r="1681" spans="1:31" s="1853" customFormat="1" ht="12" customHeight="1">
      <c r="A1681" s="1818"/>
      <c r="D1681" s="2113" t="s">
        <v>6496</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4136</v>
      </c>
      <c r="F1682" s="2113" t="s">
        <v>4137</v>
      </c>
      <c r="G1682" s="2112" t="str">
        <f>'Part VIII-Threshold Criteria'!G442</f>
        <v>&lt;&lt; Select &gt;&gt;</v>
      </c>
      <c r="H1682" s="2112"/>
      <c r="I1682" s="2112"/>
      <c r="J1682" s="2113" t="s">
        <v>3965</v>
      </c>
      <c r="M1682" s="2112">
        <f>'Part VIII-Threshold Criteria'!M442</f>
        <v>0</v>
      </c>
      <c r="N1682" s="2112"/>
      <c r="O1682" s="2112"/>
      <c r="P1682" s="2112"/>
      <c r="Q1682" s="2112"/>
    </row>
    <row r="1683" spans="1:31" s="1853" customFormat="1" ht="12" customHeight="1">
      <c r="A1683" s="1818"/>
      <c r="C1683" s="2113" t="s">
        <v>6494</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3961</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4236</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4140</v>
      </c>
      <c r="C1687" s="2229"/>
      <c r="D1687" s="2229"/>
      <c r="E1687" s="2229"/>
      <c r="F1687" s="2229"/>
      <c r="G1687" s="2229"/>
      <c r="H1687" s="2229"/>
      <c r="I1687" s="2229"/>
      <c r="J1687" s="2229"/>
      <c r="K1687" s="2229"/>
      <c r="L1687" s="2229"/>
      <c r="M1687" s="2229"/>
      <c r="N1687" s="2229"/>
    </row>
    <row r="1688" spans="1:31" s="1853" customFormat="1" ht="48" customHeight="1">
      <c r="B1688" s="2224" t="s">
        <v>7128</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3372</v>
      </c>
      <c r="D1689" s="2171"/>
      <c r="E1689" s="2171"/>
      <c r="F1689" s="2171"/>
      <c r="G1689" s="2171"/>
      <c r="H1689" s="2122"/>
      <c r="I1689" s="2165"/>
      <c r="J1689" s="2165"/>
      <c r="K1689" s="2165"/>
    </row>
    <row r="1690" spans="1:31" s="1853" customFormat="1" ht="33.6" customHeight="1">
      <c r="A1690" s="2227" t="str">
        <f>'Part VIII-Threshold Criteria'!A450</f>
        <v>The commercial building on site is currently utilized as a restaurant that is owned and operated by the land seller. There is no lease in place and the land seller willingly anticipates closing the restaurant and vacating the building before closing in order to facilitate the land sale and proposed development.</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4081</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4047</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4048</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4049</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4050</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4107</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4108</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4151</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3372</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prepare an AFFH Marketing plan that meets the requirements if selected for funding.</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3966</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3372</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Applicant believes that the project is an optimal utilization of DCA resources. It should be noted that all four of the LIHTC comparables reported maintaining waiting lists ranging from 10 to over 100 households. The low vacancy rates and the presence of waiting lists at these properties indicates that there is a strong demand of affordable housing in the area.</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2021-050 Sparrow Pointe,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7129</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61</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6315</v>
      </c>
      <c r="B1727" s="2305"/>
      <c r="C1727" s="2305"/>
      <c r="D1727" s="435" t="s">
        <v>6316</v>
      </c>
      <c r="E1727" s="435"/>
      <c r="F1727" s="435"/>
      <c r="G1727" s="435"/>
      <c r="H1727" s="435"/>
      <c r="I1727" s="435"/>
      <c r="J1727" s="435"/>
      <c r="K1727" s="435"/>
      <c r="L1727" s="435"/>
      <c r="M1727" s="435"/>
      <c r="O1727" s="2123">
        <f>'Part IX Scoring Criteria'!O8</f>
        <v>0</v>
      </c>
      <c r="P1727" s="2111"/>
      <c r="Q1727" s="435" t="s">
        <v>7130</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7056</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6367</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6368</v>
      </c>
      <c r="D1733" s="435"/>
      <c r="E1733" s="435"/>
      <c r="F1733" s="435"/>
      <c r="G1733" s="2157"/>
      <c r="H1733" s="1865" t="s">
        <v>7131</v>
      </c>
      <c r="I1733" s="2157"/>
      <c r="J1733" s="2157"/>
      <c r="K1733" s="2157"/>
      <c r="L1733" s="2157"/>
      <c r="M1733" s="2306" t="s">
        <v>7132</v>
      </c>
      <c r="N1733" s="2157"/>
      <c r="O1733" s="2123">
        <f>'Part IX Scoring Criteria'!O14</f>
        <v>0</v>
      </c>
      <c r="P1733" s="2109">
        <f>IF(P1735&lt;2,0,IF(AND(P1735&gt;1,P1735&lt;5),1,IF(P1735&gt;4,P1735-3)))</f>
        <v>0</v>
      </c>
      <c r="Q1733" s="435" t="s">
        <v>7130</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6826</v>
      </c>
      <c r="G1735" s="1968"/>
      <c r="H1735" s="1968"/>
      <c r="I1735" s="1968"/>
      <c r="J1735" s="1968"/>
      <c r="K1735" s="1968"/>
      <c r="L1735" s="1968"/>
      <c r="M1735" s="1968"/>
      <c r="N1735" s="1968"/>
      <c r="O1735" s="2306" t="s">
        <v>3973</v>
      </c>
      <c r="P1735" s="2165">
        <f>SUM(P1736:P1748)</f>
        <v>0</v>
      </c>
      <c r="Q1735" s="435" t="s">
        <v>7133</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 xml:space="preserve">The proposed project is within one half mile of a place of worship, department store, restaurant, pharmacy, bank, medical care provider, post office, and a grocery store and within one mile of a hospital, recreation center, public park, public library, and police station. The applicant is eligible for 20 desirable points. There are no undesirables. Please see Tab 27 for the Desirable/Undesirable Certification.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4240</v>
      </c>
      <c r="C1737" s="1906"/>
      <c r="D1737" s="1906"/>
      <c r="E1737" s="2309">
        <f>'Part IX Scoring Criteria'!E18</f>
        <v>3</v>
      </c>
      <c r="F1737" s="2230" t="str">
        <f>'Part IX Scoring Criteria'!F18</f>
        <v>Rome Transit Department offers five (5) fixed routes. Route One B has a stop on Martha Berry Avenue within 0.1 miles walking from the property pedestrian entrance. The services are offered no less than five days a week. Links to bothschedule and routes can be found at the website (https://www.romefloyd.com/departments/transit-department). See Tab 28 of the application for transit service documentation.</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v>
      </c>
      <c r="F1738" s="2230" t="str">
        <f>'Part IX Scoring Criteria'!F19</f>
        <v>See Tab 29 for attendance zone confirmation and 2018, 2019 Beating the Odds and CCRPI scores for Elm Street Elementary, Rome Middle School, and Rome High School. Included in the BTO scores summary are 5 other schools within the school disctric that are outside of the attendance zone of this subject site.</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7</v>
      </c>
      <c r="F1739" s="2230" t="str">
        <f>'Part IX Scoring Criteria'!F20</f>
        <v>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 xml:space="preserve">The Developer, Birdsong Housing has engaged South Rome Redevelopment Corporation as consultant to empower their Community Transformation Plan by serving as the Community Based Developer.  For 20 years, South Rome Redevelopment Corporation has served the citizens of Rome through local partnerships with service providers in education, health, transportation, and workforce coupled with the continued support by the City of Rome’s dedication to revitalize the community.  The Community Quarterback board consists of a dynamic group of individuals who are driven to create a successful and meaningful Community Transformation Plan for the community where they live and work.  The Community Improvement Fund will be utilized to activate improvements to the Defined Neighborhood with the direction of community engagement.  The Consulting Agreement is included in Tab 47.  </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4241</v>
      </c>
      <c r="C1741" s="1906"/>
      <c r="D1741" s="1906"/>
      <c r="E1741" s="2309">
        <f>'Part IX Scoring Criteria'!E22</f>
        <v>0</v>
      </c>
      <c r="F1741" s="2230" t="str">
        <f>'Part IX Scoring Criteria'!F22</f>
        <v>N/A</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4243</v>
      </c>
      <c r="B1742" s="1906" t="s">
        <v>3396</v>
      </c>
      <c r="C1742" s="1906"/>
      <c r="D1742" s="1906"/>
      <c r="E1742" s="2309">
        <f>'Part IX Scoring Criteria'!E23</f>
        <v>0</v>
      </c>
      <c r="F1742" s="2230" t="str">
        <f>'Part IX Scoring Criteria'!F23</f>
        <v>N/A</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4255</v>
      </c>
      <c r="B1743" s="1906" t="s">
        <v>4244</v>
      </c>
      <c r="C1743" s="1906"/>
      <c r="D1743" s="1906"/>
      <c r="E1743" s="2309">
        <f>'Part IX Scoring Criteria'!E24</f>
        <v>0</v>
      </c>
      <c r="F1743" s="2230" t="str">
        <f>'Part IX Scoring Criteria'!F24</f>
        <v>N/A</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6531</v>
      </c>
      <c r="B1744" s="1906" t="s">
        <v>4245</v>
      </c>
      <c r="C1744" s="1906"/>
      <c r="D1744" s="1906"/>
      <c r="E1744" s="2309">
        <f>'Part IX Scoring Criteria'!E25</f>
        <v>3</v>
      </c>
      <c r="F1744" s="2230" t="str">
        <f>'Part IX Scoring Criteria'!F25</f>
        <v>The proposed project is not within a one mile buffer of a project awarded in the last six competitive funding cycles.</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0</v>
      </c>
      <c r="F1745" s="2230" t="str">
        <f>'Part IX Scoring Criteria'!F26</f>
        <v>N/A</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t="str">
        <f>'Part IX Scoring Criteria'!F27</f>
        <v>N/A</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N/A</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6361</v>
      </c>
      <c r="C1748" s="1906"/>
      <c r="D1748" s="1906"/>
      <c r="E1748" s="2309">
        <f>'Part IX Scoring Criteria'!E29</f>
        <v>0</v>
      </c>
      <c r="F1748" s="2230" t="str">
        <f>'Part IX Scoring Criteria'!F29</f>
        <v>N/A</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6369</v>
      </c>
      <c r="C1750" s="2285"/>
      <c r="D1750" s="2115"/>
      <c r="E1750" s="2115"/>
      <c r="F1750" s="2115"/>
      <c r="G1750" s="2160" t="s">
        <v>6353</v>
      </c>
      <c r="H1750" s="2160"/>
      <c r="I1750" s="2160" t="s">
        <v>932</v>
      </c>
      <c r="J1750" s="2160"/>
      <c r="K1750" s="2311" t="s">
        <v>6354</v>
      </c>
      <c r="L1750" s="1974"/>
      <c r="M1750" s="1968" t="s">
        <v>6370</v>
      </c>
      <c r="N1750" s="1968"/>
      <c r="O1750" s="1968"/>
      <c r="P1750" s="1968"/>
      <c r="Q1750" s="1968"/>
      <c r="R1750" s="2312"/>
      <c r="S1750" s="2313" t="s">
        <v>6369</v>
      </c>
      <c r="T1750" s="2312"/>
      <c r="U1750" s="2312"/>
      <c r="V1750" s="2312"/>
      <c r="W1750" s="1754"/>
      <c r="X1750" s="4750" t="s">
        <v>6353</v>
      </c>
      <c r="Y1750" s="4751"/>
      <c r="Z1750" s="4750" t="s">
        <v>932</v>
      </c>
      <c r="AA1750" s="4751"/>
      <c r="AB1750" s="2314" t="s">
        <v>6354</v>
      </c>
      <c r="AC1750" s="4750" t="s">
        <v>6353</v>
      </c>
      <c r="AD1750" s="4751"/>
      <c r="AE1750" s="4750" t="s">
        <v>932</v>
      </c>
      <c r="AF1750" s="4751"/>
      <c r="AG1750" s="2314" t="s">
        <v>6354</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6355</v>
      </c>
      <c r="C1752" s="1968"/>
      <c r="D1752" s="2113"/>
      <c r="E1752" s="2113"/>
      <c r="F1752" s="2113"/>
      <c r="G1752" s="2146">
        <v>10</v>
      </c>
      <c r="H1752" s="2146"/>
      <c r="I1752" s="2146">
        <v>10</v>
      </c>
      <c r="J1752" s="2146"/>
      <c r="K1752" s="2146">
        <v>10</v>
      </c>
      <c r="L1752" s="1974"/>
      <c r="M1752" s="1968" t="s">
        <v>6371</v>
      </c>
      <c r="N1752" s="1974"/>
      <c r="O1752" s="1974"/>
      <c r="P1752" s="2318" t="str">
        <f>'Part IX Scoring Criteria'!P33</f>
        <v>9%</v>
      </c>
      <c r="Q1752" s="1974"/>
      <c r="R1752" s="2319" t="s">
        <v>712</v>
      </c>
      <c r="S1752" s="2320" t="s">
        <v>6355</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6356</v>
      </c>
      <c r="C1753" s="1968"/>
      <c r="D1753" s="2113"/>
      <c r="E1753" s="2113"/>
      <c r="F1753" s="2113"/>
      <c r="G1753" s="2146">
        <v>3</v>
      </c>
      <c r="H1753" s="2146">
        <v>3</v>
      </c>
      <c r="I1753" s="2146">
        <v>3</v>
      </c>
      <c r="J1753" s="2146">
        <v>3</v>
      </c>
      <c r="K1753" s="2146"/>
      <c r="L1753" s="1974"/>
      <c r="M1753" s="1968" t="s">
        <v>6375</v>
      </c>
      <c r="N1753" s="1968"/>
      <c r="O1753" s="1968"/>
      <c r="P1753" s="1968"/>
      <c r="Q1753" s="1974"/>
      <c r="R1753" s="2319" t="s">
        <v>1711</v>
      </c>
      <c r="S1753" s="2329" t="s">
        <v>6356</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6379</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4240</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4240</v>
      </c>
      <c r="T1755" s="2330"/>
      <c r="U1755" s="2331"/>
      <c r="V1755" s="2331"/>
      <c r="W1755" s="2331"/>
      <c r="X1755" s="2337">
        <f>O1827</f>
        <v>3</v>
      </c>
      <c r="Y1755" s="2338">
        <f>O1827</f>
        <v>3</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6380</v>
      </c>
      <c r="N1756" s="1974"/>
      <c r="O1756" s="1974"/>
      <c r="P1756" s="2045" t="str">
        <f>'Part IX Scoring Criteria'!P37</f>
        <v>No</v>
      </c>
      <c r="Q1756" s="1974"/>
      <c r="R1756" s="2319" t="s">
        <v>742</v>
      </c>
      <c r="S1756" s="2329" t="s">
        <v>3485</v>
      </c>
      <c r="T1756" s="2330"/>
      <c r="U1756" s="2331"/>
      <c r="V1756" s="2331"/>
      <c r="W1756" s="2331"/>
      <c r="X1756" s="2339">
        <f>O1866</f>
        <v>1</v>
      </c>
      <c r="Y1756" s="2340">
        <f>O1866</f>
        <v>1</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3547</v>
      </c>
      <c r="T1757" s="2330"/>
      <c r="U1757" s="2331"/>
      <c r="V1757" s="2331"/>
      <c r="W1757" s="2331"/>
      <c r="X1757" s="2332">
        <f>O1882</f>
        <v>7</v>
      </c>
      <c r="Y1757" s="2333">
        <f>O1882</f>
        <v>7</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6536</v>
      </c>
      <c r="P1758" s="2165">
        <f>'Part III-Sources of Funds'!$L$14</f>
        <v>0</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4241</v>
      </c>
      <c r="C1759" s="1968"/>
      <c r="D1759" s="2113"/>
      <c r="E1759" s="2113"/>
      <c r="F1759" s="2113"/>
      <c r="G1759" s="2146">
        <v>10</v>
      </c>
      <c r="H1759" s="2146">
        <v>5</v>
      </c>
      <c r="I1759" s="2146"/>
      <c r="J1759" s="2146"/>
      <c r="K1759" s="2146"/>
      <c r="L1759" s="1974"/>
      <c r="M1759" s="1865" t="s">
        <v>6537</v>
      </c>
      <c r="N1759" s="1865"/>
      <c r="O1759" s="2115"/>
      <c r="P1759" s="2045" t="str">
        <f>'Part IX Scoring Criteria'!P40</f>
        <v>No</v>
      </c>
      <c r="Q1759" s="1974"/>
      <c r="R1759" s="2319" t="s">
        <v>346</v>
      </c>
      <c r="S1759" s="2329" t="s">
        <v>4241</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6357</v>
      </c>
      <c r="C1760" s="1968"/>
      <c r="D1760" s="2113"/>
      <c r="E1760" s="2113"/>
      <c r="F1760" s="2113"/>
      <c r="G1760" s="2146">
        <v>1</v>
      </c>
      <c r="H1760" s="2146"/>
      <c r="I1760" s="2146"/>
      <c r="J1760" s="2146"/>
      <c r="K1760" s="2146"/>
      <c r="L1760" s="1974"/>
      <c r="Q1760" s="1974"/>
      <c r="R1760" s="2319" t="s">
        <v>347</v>
      </c>
      <c r="S1760" s="2329" t="s">
        <v>6357</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3396</v>
      </c>
      <c r="C1761" s="1968"/>
      <c r="D1761" s="2113"/>
      <c r="E1761" s="2113"/>
      <c r="F1761" s="2113"/>
      <c r="G1761" s="2146">
        <v>10</v>
      </c>
      <c r="H1761" s="2146">
        <v>5</v>
      </c>
      <c r="I1761" s="2146"/>
      <c r="J1761" s="2146"/>
      <c r="K1761" s="2146"/>
      <c r="L1761" s="1974"/>
      <c r="P1761" s="2030" t="s">
        <v>6544</v>
      </c>
      <c r="Q1761" s="1974"/>
      <c r="R1761" s="2319" t="s">
        <v>348</v>
      </c>
      <c r="S1761" s="2329" t="s">
        <v>3396</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6358</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6358</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4245</v>
      </c>
      <c r="C1763" s="1968"/>
      <c r="D1763" s="2113"/>
      <c r="E1763" s="2113"/>
      <c r="F1763" s="2113"/>
      <c r="G1763" s="2146">
        <v>5</v>
      </c>
      <c r="H1763" s="2146"/>
      <c r="I1763" s="2146"/>
      <c r="J1763" s="2146"/>
      <c r="K1763" s="2146"/>
      <c r="L1763" s="1974"/>
      <c r="P1763" s="2030" t="s">
        <v>3380</v>
      </c>
      <c r="Q1763" s="1974"/>
      <c r="R1763" s="2319" t="s">
        <v>3520</v>
      </c>
      <c r="S1763" s="2329" t="s">
        <v>4245</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2149</v>
      </c>
      <c r="B1764" s="2085" t="s">
        <v>3967</v>
      </c>
      <c r="C1764" s="1968"/>
      <c r="D1764" s="2113"/>
      <c r="E1764" s="2113"/>
      <c r="F1764" s="2113"/>
      <c r="G1764" s="2146">
        <v>4</v>
      </c>
      <c r="H1764" s="2146">
        <v>4</v>
      </c>
      <c r="I1764" s="2146">
        <v>4</v>
      </c>
      <c r="J1764" s="2146">
        <v>4</v>
      </c>
      <c r="K1764" s="2146">
        <v>4</v>
      </c>
      <c r="L1764" s="2343"/>
      <c r="M1764" s="1968" t="s">
        <v>7134</v>
      </c>
      <c r="N1764" s="1974"/>
      <c r="P1764" s="2344">
        <f>'Part IX Scoring Criteria'!P45</f>
        <v>50</v>
      </c>
      <c r="R1764" s="2319" t="s">
        <v>2149</v>
      </c>
      <c r="S1764" s="2329" t="s">
        <v>3967</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6359</v>
      </c>
      <c r="C1765" s="1968"/>
      <c r="D1765" s="2113"/>
      <c r="E1765" s="2113"/>
      <c r="F1765" s="2113"/>
      <c r="G1765" s="2146">
        <v>2</v>
      </c>
      <c r="H1765" s="2146"/>
      <c r="I1765" s="2146">
        <v>2</v>
      </c>
      <c r="J1765" s="2146"/>
      <c r="K1765" s="2146"/>
      <c r="L1765" s="1974"/>
      <c r="M1765" s="1968" t="s">
        <v>6574</v>
      </c>
      <c r="N1765" s="1876"/>
      <c r="O1765" s="1876"/>
      <c r="P1765" s="2344">
        <f>'Part IX Scoring Criteria'!P46</f>
        <v>0</v>
      </c>
      <c r="Q1765" s="1974"/>
      <c r="R1765" s="2319" t="s">
        <v>3520</v>
      </c>
      <c r="S1765" s="2329" t="s">
        <v>6359</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7057</v>
      </c>
      <c r="N1766" s="2128"/>
      <c r="O1766" s="2128"/>
      <c r="P1766" s="2128"/>
      <c r="Q1766" s="458"/>
      <c r="R1766" s="2319" t="s">
        <v>3521</v>
      </c>
      <c r="S1766" s="2329" t="s">
        <v>3549</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6360</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6360</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6361</v>
      </c>
      <c r="C1770" s="1968"/>
      <c r="D1770" s="2113"/>
      <c r="E1770" s="2113"/>
      <c r="F1770" s="2113"/>
      <c r="G1770" s="2146">
        <v>2</v>
      </c>
      <c r="H1770" s="2146"/>
      <c r="I1770" s="2146">
        <v>2</v>
      </c>
      <c r="J1770" s="2146"/>
      <c r="K1770" s="2146"/>
      <c r="L1770" s="1974"/>
      <c r="M1770" s="2128"/>
      <c r="N1770" s="2128"/>
      <c r="O1770" s="2128"/>
      <c r="P1770" s="2128"/>
      <c r="R1770" s="2319" t="s">
        <v>3526</v>
      </c>
      <c r="S1770" s="2329" t="s">
        <v>6361</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3527</v>
      </c>
      <c r="B1771" s="2085" t="s">
        <v>6362</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6362</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6363</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3528</v>
      </c>
      <c r="S1772" s="2329" t="s">
        <v>6363</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6364</v>
      </c>
      <c r="C1773" s="1968"/>
      <c r="D1773" s="2113"/>
      <c r="E1773" s="2113"/>
      <c r="F1773" s="2113"/>
      <c r="G1773" s="2146"/>
      <c r="H1773" s="2146"/>
      <c r="I1773" s="2146"/>
      <c r="J1773" s="2146">
        <v>4</v>
      </c>
      <c r="K1773" s="2146"/>
      <c r="L1773" s="1974"/>
      <c r="Q1773" s="1974"/>
      <c r="R1773" s="2319" t="s">
        <v>3529</v>
      </c>
      <c r="S1773" s="2329" t="s">
        <v>6364</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6365</v>
      </c>
      <c r="C1774" s="1968"/>
      <c r="D1774" s="2113"/>
      <c r="E1774" s="2113"/>
      <c r="F1774" s="2113"/>
      <c r="G1774" s="2146"/>
      <c r="H1774" s="2146"/>
      <c r="I1774" s="2146">
        <v>2</v>
      </c>
      <c r="J1774" s="2146"/>
      <c r="K1774" s="2146">
        <v>2</v>
      </c>
      <c r="L1774" s="1974"/>
      <c r="M1774" s="1968" t="s">
        <v>6372</v>
      </c>
      <c r="N1774" s="1968"/>
      <c r="O1774" s="1968"/>
      <c r="P1774" s="1968"/>
      <c r="Q1774" s="1974"/>
      <c r="R1774" s="2319" t="s">
        <v>3530</v>
      </c>
      <c r="S1774" s="2329" t="s">
        <v>6365</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6366</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3531</v>
      </c>
      <c r="S1775" s="2347" t="s">
        <v>6366</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6532</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61</v>
      </c>
      <c r="Y1777" s="2357">
        <f t="shared" ref="Y1777:AB1777" si="384">SUM(Y1752:Y1775)</f>
        <v>47</v>
      </c>
      <c r="Z1777" s="2357">
        <f t="shared" si="384"/>
        <v>26</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7135</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3968</v>
      </c>
      <c r="D1780" s="1719"/>
      <c r="E1780" s="1719"/>
      <c r="F1780" s="2165"/>
      <c r="N1780" s="2256" t="s">
        <v>1893</v>
      </c>
      <c r="P1780" s="2173">
        <f>SUM(P1781:P1783)</f>
        <v>0</v>
      </c>
      <c r="Q1780" s="435" t="s">
        <v>7136</v>
      </c>
    </row>
    <row r="1781" spans="1:33" s="2275" customFormat="1" ht="12.75" customHeight="1">
      <c r="A1781" s="2142"/>
      <c r="B1781" s="2359" t="s">
        <v>1896</v>
      </c>
      <c r="C1781" s="1719" t="s">
        <v>3971</v>
      </c>
      <c r="D1781" s="1719"/>
      <c r="E1781" s="1719"/>
      <c r="F1781" s="2165"/>
      <c r="H1781" s="1865" t="s">
        <v>3298</v>
      </c>
      <c r="J1781" s="2157"/>
      <c r="N1781" s="2360" t="s">
        <v>1896</v>
      </c>
      <c r="P1781" s="2173">
        <f>F1789</f>
        <v>0</v>
      </c>
    </row>
    <row r="1782" spans="1:33" s="2275" customFormat="1" ht="12.75" customHeight="1">
      <c r="A1782" s="2142"/>
      <c r="B1782" s="2359" t="s">
        <v>1898</v>
      </c>
      <c r="C1782" s="1719" t="s">
        <v>7137</v>
      </c>
      <c r="D1782" s="1719"/>
      <c r="E1782" s="1719"/>
      <c r="F1782" s="2165"/>
      <c r="H1782" s="1865" t="s">
        <v>3969</v>
      </c>
      <c r="J1782" s="2157"/>
      <c r="N1782" s="2360" t="s">
        <v>1898</v>
      </c>
      <c r="P1782" s="2173">
        <f>J1789</f>
        <v>0</v>
      </c>
    </row>
    <row r="1783" spans="1:33" s="2275" customFormat="1" ht="12.75" customHeight="1">
      <c r="A1783" s="2142"/>
      <c r="B1783" s="2359" t="s">
        <v>2416</v>
      </c>
      <c r="C1783" s="1719" t="s">
        <v>3970</v>
      </c>
      <c r="D1783" s="1719"/>
      <c r="E1783" s="1719"/>
      <c r="F1783" s="2165"/>
      <c r="H1783" s="1865" t="s">
        <v>3974</v>
      </c>
      <c r="J1783" s="2157"/>
      <c r="N1783" s="2360" t="s">
        <v>2416</v>
      </c>
      <c r="P1783" s="2123"/>
    </row>
    <row r="1784" spans="1:33" s="2275" customFormat="1" ht="12.75" customHeight="1">
      <c r="C1784" s="1906" t="s">
        <v>7058</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7138</v>
      </c>
      <c r="J1786" s="2157"/>
      <c r="M1786" s="2109"/>
      <c r="N1786" s="2256" t="s">
        <v>1895</v>
      </c>
      <c r="P1786" s="2173">
        <f>O1789</f>
        <v>0</v>
      </c>
      <c r="Q1786" s="435" t="s">
        <v>7136</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7059</v>
      </c>
      <c r="B1788" s="1876"/>
      <c r="C1788" s="1876"/>
      <c r="D1788" s="1876"/>
      <c r="E1788" s="1876"/>
      <c r="F1788" s="2045" t="s">
        <v>3543</v>
      </c>
      <c r="G1788" s="435" t="s">
        <v>7060</v>
      </c>
      <c r="H1788" s="435"/>
      <c r="I1788" s="435"/>
      <c r="J1788" s="2045" t="s">
        <v>3543</v>
      </c>
      <c r="K1788" s="2113" t="s">
        <v>7061</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7139</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3266</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3267</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3268</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3269</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3270</v>
      </c>
      <c r="E1803" s="435"/>
      <c r="G1803" s="435"/>
      <c r="I1803" s="1865" t="s">
        <v>6542</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3981</v>
      </c>
      <c r="G1804" s="2113"/>
      <c r="H1804" s="435"/>
      <c r="I1804" s="2157"/>
      <c r="K1804" s="2030"/>
      <c r="L1804" s="2366"/>
      <c r="M1804" s="2109"/>
      <c r="N1804" s="2109"/>
      <c r="O1804" s="2193"/>
      <c r="P1804" s="2193"/>
      <c r="Q1804" s="2109"/>
      <c r="R1804" s="2367"/>
    </row>
    <row r="1805" spans="1:20" s="2275" customFormat="1" ht="13.5" customHeight="1">
      <c r="A1805" s="2142" t="s">
        <v>1893</v>
      </c>
      <c r="B1805" s="2116" t="s">
        <v>7140</v>
      </c>
      <c r="E1805" s="435"/>
      <c r="G1805" s="2113"/>
      <c r="H1805" s="2113" t="s">
        <v>4065</v>
      </c>
      <c r="I1805" s="2368" t="str">
        <f>'Part I-Project Information'!$K$94</f>
        <v>Income Averaging</v>
      </c>
      <c r="M1805" s="2109"/>
      <c r="N1805" s="2109"/>
      <c r="Q1805" s="2109"/>
      <c r="R1805" s="2367"/>
    </row>
    <row r="1806" spans="1:20" s="2285" customFormat="1" ht="9" customHeight="1">
      <c r="A1806" s="2142"/>
      <c r="B1806" s="1719" t="s">
        <v>3975</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3976</v>
      </c>
      <c r="D1808" s="435"/>
      <c r="H1808" s="435" t="s">
        <v>3977</v>
      </c>
      <c r="I1808" s="1865"/>
      <c r="J1808" s="2371">
        <f>'Part VI-Revenues &amp; Expenses'!B1721</f>
        <v>0</v>
      </c>
      <c r="L1808" s="1876" t="str">
        <f>IF(AND(O1808&gt;0,O1809&gt;0), "CHOOSE EITHER A OR B, NOT BOTH!", "")</f>
        <v/>
      </c>
      <c r="M1808" s="2118">
        <v>2</v>
      </c>
      <c r="N1808" s="2361" t="s">
        <v>1896</v>
      </c>
      <c r="O1808" s="2372">
        <f>'Part IX Scoring Criteria'!O89</f>
        <v>2</v>
      </c>
      <c r="P1808" s="2193"/>
      <c r="Q1808" s="2283" t="str">
        <f>IF(OR($O1808=$M1808,$O1808=0,$O1808=""),"","*CHECK!*")</f>
        <v/>
      </c>
      <c r="R1808" s="1859" t="s">
        <v>4263</v>
      </c>
    </row>
    <row r="1809" spans="1:18" s="2285" customFormat="1" ht="13.5" customHeight="1">
      <c r="A1809" s="2256" t="s">
        <v>3104</v>
      </c>
      <c r="B1809" s="2369" t="s">
        <v>1898</v>
      </c>
      <c r="C1809" s="2370" t="s">
        <v>3978</v>
      </c>
      <c r="D1809" s="435"/>
      <c r="I1809" s="1865"/>
      <c r="K1809" s="435"/>
      <c r="L1809" s="1876"/>
      <c r="M1809" s="2118">
        <v>2</v>
      </c>
      <c r="N1809" s="2361" t="s">
        <v>1898</v>
      </c>
      <c r="O1809" s="2372">
        <f>'Part IX Scoring Criteria'!O90</f>
        <v>0</v>
      </c>
      <c r="P1809" s="2193"/>
      <c r="Q1809" s="2283" t="str">
        <f>IF(OR($O1809=$M1809,$O1809=0,$O1809=""),"","*CHECK!*")</f>
        <v/>
      </c>
      <c r="R1809" s="1859" t="s">
        <v>4263</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7141</v>
      </c>
      <c r="E1811" s="2113"/>
      <c r="H1811" s="1865" t="s">
        <v>3979</v>
      </c>
      <c r="I1811" s="1865"/>
      <c r="J1811" s="2373" t="s">
        <v>3980</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3300</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3385</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3422</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7142</v>
      </c>
      <c r="J1820" s="1865"/>
      <c r="K1820" s="1865"/>
      <c r="L1820" s="1865"/>
      <c r="M1820" s="2109">
        <v>20</v>
      </c>
      <c r="N1820" s="2361" t="s">
        <v>1893</v>
      </c>
      <c r="O1820" s="2381">
        <f>'Part IX Scoring Criteria'!O101</f>
        <v>20</v>
      </c>
      <c r="P1820" s="2304"/>
      <c r="Q1820" s="2283"/>
      <c r="R1820" s="1859" t="s">
        <v>4263</v>
      </c>
    </row>
    <row r="1821" spans="1:18" s="2285" customFormat="1" ht="12.75" customHeight="1">
      <c r="A1821" s="2142" t="s">
        <v>1895</v>
      </c>
      <c r="B1821" s="1719" t="s">
        <v>3416</v>
      </c>
      <c r="D1821" s="2382"/>
      <c r="F1821" s="2004"/>
      <c r="H1821" s="2010" t="s">
        <v>3484</v>
      </c>
      <c r="I1821" s="1865"/>
      <c r="J1821" s="1865"/>
      <c r="K1821" s="1865"/>
      <c r="L1821" s="1865"/>
      <c r="M1821" s="2165" t="s">
        <v>1192</v>
      </c>
      <c r="N1821" s="2256" t="s">
        <v>1895</v>
      </c>
      <c r="O1821" s="2381">
        <f>'Part IX Scoring Criteria'!O102</f>
        <v>0</v>
      </c>
      <c r="P1821" s="2304"/>
      <c r="R1821" s="1859" t="s">
        <v>4263</v>
      </c>
    </row>
    <row r="1822" spans="1:18" s="2275" customFormat="1" ht="12.75" customHeight="1">
      <c r="A1822" s="1818"/>
      <c r="B1822" s="2157" t="s">
        <v>3373</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The proposed project is within one half mile of a place of worship, department store, restaurant, pharmacy, bank, medical care provider, post office, and a grocery store and within one mile of a hospital, recreation center, public park, public library, and police station. The applicant is eligible for 20 desirable points. There are no undesirables. Please see Tab 27 for the Desirable/Undesirable Certification.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6381</v>
      </c>
      <c r="I1827" s="1913" t="s">
        <v>6372</v>
      </c>
      <c r="J1827" s="2045">
        <f>$M$56</f>
        <v>0</v>
      </c>
      <c r="K1827" s="2045" t="s">
        <v>367</v>
      </c>
      <c r="L1827" s="2045" t="str">
        <f>$M$1762</f>
        <v>New Supply</v>
      </c>
      <c r="M1827" s="2109">
        <v>6</v>
      </c>
      <c r="N1827" s="2256"/>
      <c r="O1827" s="2304">
        <f>'Part IX Scoring Criteria'!O108</f>
        <v>3</v>
      </c>
      <c r="P1827" s="2304">
        <f>'Part IX Scoring Criteria'!P108</f>
        <v>0</v>
      </c>
      <c r="Q1827" s="2109" t="s">
        <v>422</v>
      </c>
      <c r="R1827" s="2245" t="s">
        <v>7143</v>
      </c>
      <c r="S1827" s="2245"/>
      <c r="T1827" s="2245"/>
      <c r="U1827" s="2245"/>
    </row>
    <row r="1828" spans="1:21" s="2275" customFormat="1" ht="17.25" customHeight="1">
      <c r="A1828" s="2307"/>
      <c r="B1828" s="1719" t="s">
        <v>3469</v>
      </c>
      <c r="D1828" s="2380"/>
      <c r="H1828" s="1719"/>
      <c r="M1828" s="2109"/>
      <c r="N1828" s="2256"/>
      <c r="O1828" s="2384" t="s">
        <v>3271</v>
      </c>
      <c r="P1828" s="2384" t="s">
        <v>3272</v>
      </c>
      <c r="Q1828" s="2109"/>
      <c r="R1828" s="2245"/>
      <c r="S1828" s="2245"/>
      <c r="T1828" s="2245"/>
      <c r="U1828" s="2245"/>
    </row>
    <row r="1829" spans="1:21" s="2275" customFormat="1" ht="11.25" customHeight="1">
      <c r="A1829" s="2307"/>
      <c r="B1829" s="2385" t="s">
        <v>1896</v>
      </c>
      <c r="C1829" s="435" t="s">
        <v>3984</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3985</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6385</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7144</v>
      </c>
      <c r="D1832" s="2382"/>
      <c r="E1832" s="2285"/>
      <c r="F1832" s="2285"/>
      <c r="G1832" s="2285"/>
      <c r="H1832" s="2157"/>
      <c r="I1832" s="2157"/>
      <c r="J1832" s="1719"/>
      <c r="K1832" s="1719"/>
      <c r="L1832" s="2285"/>
      <c r="M1832" s="2285"/>
      <c r="N1832" s="2256"/>
      <c r="O1832" s="2231" t="str">
        <f>'Part IX Scoring Criteria'!O113</f>
        <v>N/a</v>
      </c>
      <c r="P1832" s="2165"/>
      <c r="Q1832" s="2109"/>
      <c r="R1832" s="2245"/>
      <c r="S1832" s="2245"/>
      <c r="T1832" s="2245"/>
      <c r="U1832" s="2245"/>
    </row>
    <row r="1833" spans="1:21" s="2275" customFormat="1" ht="11.25" customHeight="1">
      <c r="A1833" s="2307"/>
      <c r="B1833" s="2385">
        <v>5</v>
      </c>
      <c r="C1833" s="435" t="s">
        <v>6547</v>
      </c>
      <c r="D1833" s="2382"/>
      <c r="E1833" s="2285"/>
      <c r="F1833" s="2285"/>
      <c r="G1833" s="2285"/>
      <c r="H1833" s="2157"/>
      <c r="I1833" s="2157"/>
      <c r="J1833" s="1719"/>
      <c r="K1833" s="1719"/>
      <c r="L1833" s="2285"/>
      <c r="M1833" s="2285"/>
      <c r="N1833" s="2256"/>
      <c r="O1833" s="2231" t="str">
        <f>'Part IX Scoring Criteria'!O114</f>
        <v>Yes</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3347</v>
      </c>
      <c r="G1835" s="1719"/>
      <c r="H1835" s="1719"/>
      <c r="I1835" s="1719"/>
      <c r="J1835" s="1719" t="s">
        <v>3348</v>
      </c>
      <c r="K1835" s="1719"/>
      <c r="L1835" s="1719"/>
      <c r="M1835" s="1719"/>
      <c r="N1835" s="2256"/>
      <c r="O1835" s="2386" t="s">
        <v>7145</v>
      </c>
      <c r="P1835" s="2386"/>
      <c r="Q1835" s="2109"/>
      <c r="R1835" s="2245"/>
      <c r="S1835" s="2245"/>
      <c r="T1835" s="2245"/>
      <c r="U1835" s="2245"/>
    </row>
    <row r="1836" spans="1:21" s="2275" customFormat="1" ht="12.75" customHeight="1">
      <c r="A1836" s="2307"/>
      <c r="C1836" s="1719" t="s">
        <v>3472</v>
      </c>
      <c r="D1836" s="1990"/>
      <c r="E1836" s="1876"/>
      <c r="F1836" s="1873">
        <f>'Part IX Scoring Criteria'!F117</f>
        <v>34.266750000000002</v>
      </c>
      <c r="G1836" s="1873"/>
      <c r="H1836" s="2387"/>
      <c r="I1836" s="2387"/>
      <c r="J1836" s="1873">
        <f>'Part IX Scoring Criteria'!J117</f>
        <v>-85.180031</v>
      </c>
      <c r="K1836" s="1873"/>
      <c r="L1836" s="2387"/>
      <c r="M1836" s="2387"/>
      <c r="N1836" s="2256"/>
      <c r="Q1836" s="2109"/>
      <c r="R1836" s="2245"/>
      <c r="S1836" s="2245"/>
      <c r="T1836" s="2245"/>
      <c r="U1836" s="2245"/>
    </row>
    <row r="1837" spans="1:21" s="2275" customFormat="1" ht="12.75" customHeight="1">
      <c r="A1837" s="2388" t="s">
        <v>3542</v>
      </c>
      <c r="B1837" s="2388"/>
      <c r="E1837" s="2256" t="s">
        <v>6387</v>
      </c>
      <c r="F1837" s="1873">
        <f>'Part IX Scoring Criteria'!F118</f>
        <v>34.264519999999997</v>
      </c>
      <c r="G1837" s="1873"/>
      <c r="H1837" s="2387"/>
      <c r="I1837" s="2387"/>
      <c r="J1837" s="1873">
        <f>'Part IX Scoring Criteria'!J118</f>
        <v>-85.180233999999999</v>
      </c>
      <c r="K1837" s="1873"/>
      <c r="L1837" s="2387"/>
      <c r="M1837" s="2387"/>
      <c r="N1837" s="2256"/>
      <c r="O1837" s="2389">
        <f>'Part IX Scoring Criteria'!O118</f>
        <v>0.1</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6382</v>
      </c>
      <c r="B1841" s="2154"/>
      <c r="D1841" s="2380"/>
      <c r="F1841" s="2171" t="s">
        <v>7146</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3369</v>
      </c>
      <c r="D1843" s="2380"/>
      <c r="F1843" s="2157" t="s">
        <v>7147</v>
      </c>
      <c r="M1843" s="2109">
        <v>6</v>
      </c>
      <c r="N1843" s="2360" t="s">
        <v>1893</v>
      </c>
      <c r="O1843" s="2193">
        <f>'Part IX Scoring Criteria'!O124</f>
        <v>0</v>
      </c>
      <c r="P1843" s="2193">
        <f>'Part IX Scoring Criteria'!P124</f>
        <v>0</v>
      </c>
      <c r="Q1843" s="2109"/>
    </row>
    <row r="1844" spans="1:21" s="2275" customFormat="1" ht="12.6" customHeight="1">
      <c r="A1844" s="2258"/>
      <c r="B1844" s="435" t="s">
        <v>6389</v>
      </c>
      <c r="D1844" s="2380"/>
      <c r="F1844" s="2157"/>
      <c r="M1844" s="2109"/>
      <c r="N1844" s="2360"/>
      <c r="O1844" s="2231">
        <f>'Part IX Scoring Criteria'!O125</f>
        <v>0</v>
      </c>
      <c r="P1844" s="2165"/>
      <c r="Q1844" s="2109"/>
    </row>
    <row r="1845" spans="1:21" s="2392" customFormat="1" ht="36.75" customHeight="1">
      <c r="B1845" s="2393" t="s">
        <v>1896</v>
      </c>
      <c r="C1845" s="2224" t="s">
        <v>7148</v>
      </c>
      <c r="D1845" s="2224"/>
      <c r="E1845" s="2224"/>
      <c r="F1845" s="2224"/>
      <c r="G1845" s="2224"/>
      <c r="H1845" s="2224"/>
      <c r="I1845" s="2004" t="s">
        <v>7149</v>
      </c>
      <c r="J1845" s="2004"/>
      <c r="K1845" s="2004"/>
      <c r="L1845" s="2004"/>
      <c r="M1845" s="2310">
        <v>6</v>
      </c>
      <c r="N1845" s="2393" t="s">
        <v>1896</v>
      </c>
      <c r="O1845" s="2394">
        <f>'Part IX Scoring Criteria'!O126</f>
        <v>0</v>
      </c>
      <c r="P1845" s="2395"/>
      <c r="Q1845" s="2283"/>
      <c r="R1845" s="1859" t="s">
        <v>4263</v>
      </c>
    </row>
    <row r="1846" spans="1:21" s="2392" customFormat="1" ht="12" customHeight="1">
      <c r="A1846" s="2165" t="s">
        <v>1304</v>
      </c>
      <c r="B1846" s="2393" t="s">
        <v>1898</v>
      </c>
      <c r="C1846" s="2224" t="s">
        <v>6384</v>
      </c>
      <c r="D1846" s="2224"/>
      <c r="E1846" s="2224"/>
      <c r="F1846" s="2224"/>
      <c r="G1846" s="2224"/>
      <c r="I1846" s="2004"/>
      <c r="J1846" s="2004"/>
      <c r="K1846" s="2004"/>
      <c r="L1846" s="2004"/>
      <c r="M1846" s="2109">
        <v>5</v>
      </c>
      <c r="N1846" s="2385" t="s">
        <v>1898</v>
      </c>
      <c r="O1846" s="2381">
        <f>'Part IX Scoring Criteria'!O127</f>
        <v>0</v>
      </c>
      <c r="P1846" s="2304"/>
      <c r="Q1846" s="2283"/>
      <c r="R1846" s="1859" t="s">
        <v>4263</v>
      </c>
    </row>
    <row r="1847" spans="1:21" s="2392" customFormat="1" ht="12" customHeight="1">
      <c r="B1847" s="2393"/>
      <c r="C1847" s="2224"/>
      <c r="D1847" s="2224"/>
      <c r="E1847" s="2224"/>
      <c r="F1847" s="2224"/>
      <c r="G1847" s="1865" t="s">
        <v>6388</v>
      </c>
      <c r="H1847" s="1865"/>
      <c r="I1847" s="2004"/>
      <c r="J1847" s="2004"/>
      <c r="K1847" s="2004"/>
      <c r="L1847" s="2004"/>
      <c r="M1847" s="435" t="str">
        <f>IF(AND(O1846&gt;0,O1845&gt;0),"Pick A1 or A2!","")</f>
        <v/>
      </c>
      <c r="N1847" s="435"/>
      <c r="O1847" s="435"/>
      <c r="P1847" s="435"/>
      <c r="Q1847" s="2283"/>
      <c r="R1847" s="2045" t="s">
        <v>6566</v>
      </c>
      <c r="S1847" s="2045" t="s">
        <v>6383</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3370</v>
      </c>
      <c r="C1850" s="1843"/>
      <c r="D1850" s="1843"/>
      <c r="F1850" s="2228" t="s">
        <v>7150</v>
      </c>
      <c r="I1850" s="1952" t="str">
        <f>'Part IX Scoring Criteria'!I131</f>
        <v>Rome Transit Department</v>
      </c>
      <c r="J1850" s="1952"/>
      <c r="K1850" s="1952"/>
      <c r="L1850" s="2399">
        <f>'Part IX Scoring Criteria'!L131</f>
        <v>7062364523</v>
      </c>
      <c r="M1850" s="2109">
        <v>3</v>
      </c>
      <c r="N1850" s="2256" t="s">
        <v>1895</v>
      </c>
      <c r="O1850" s="2193">
        <f>'Part IX Scoring Criteria'!O131</f>
        <v>3</v>
      </c>
      <c r="P1850" s="2193">
        <f>'Part IX Scoring Criteria'!P131</f>
        <v>0</v>
      </c>
      <c r="Q1850" s="2400"/>
      <c r="R1850" s="2165">
        <v>1</v>
      </c>
      <c r="S1850" s="2165">
        <v>4</v>
      </c>
    </row>
    <row r="1851" spans="1:21" s="2275" customFormat="1" ht="11.25" customHeight="1">
      <c r="A1851" s="2307"/>
      <c r="B1851" s="2256" t="s">
        <v>3394</v>
      </c>
      <c r="C1851" s="1865" t="s">
        <v>3983</v>
      </c>
      <c r="D1851" s="2382"/>
      <c r="F1851" s="2285"/>
      <c r="G1851" s="2285"/>
      <c r="H1851" s="2157"/>
      <c r="I1851" s="1952"/>
      <c r="J1851" s="1952"/>
      <c r="K1851" s="1952"/>
      <c r="L1851" s="2399"/>
      <c r="M1851" s="2285"/>
      <c r="N1851" s="2256" t="s">
        <v>3394</v>
      </c>
      <c r="O1851" s="2231" t="str">
        <f>'Part IX Scoring Criteria'!O132</f>
        <v>Yes</v>
      </c>
      <c r="P1851" s="2165"/>
      <c r="Q1851" s="2109"/>
      <c r="R1851" s="1968"/>
      <c r="S1851" s="2392"/>
      <c r="T1851" s="2392"/>
      <c r="U1851" s="2392"/>
    </row>
    <row r="1852" spans="1:21" s="2275" customFormat="1" ht="11.25" customHeight="1">
      <c r="A1852" s="2307"/>
      <c r="B1852" s="2256" t="s">
        <v>3395</v>
      </c>
      <c r="C1852" s="1865" t="s">
        <v>3982</v>
      </c>
      <c r="D1852" s="2382"/>
      <c r="F1852" s="2285"/>
      <c r="G1852" s="2285"/>
      <c r="H1852" s="2157"/>
      <c r="I1852" s="1952" t="str">
        <f>'Part IX Scoring Criteria'!I133</f>
        <v>kshealy@romega.us</v>
      </c>
      <c r="J1852" s="1952"/>
      <c r="K1852" s="1952"/>
      <c r="L1852" s="1952"/>
      <c r="M1852" s="2285"/>
      <c r="N1852" s="2256" t="s">
        <v>3395</v>
      </c>
      <c r="O1852" s="2231" t="str">
        <f>'Part IX Scoring Criteria'!O133</f>
        <v>Yes</v>
      </c>
      <c r="P1852" s="2165"/>
      <c r="Q1852" s="2109"/>
      <c r="R1852" s="1968"/>
      <c r="S1852" s="2392"/>
      <c r="T1852" s="2392"/>
      <c r="U1852" s="2392"/>
    </row>
    <row r="1853" spans="1:21" s="2392" customFormat="1" ht="12" customHeight="1">
      <c r="A1853" s="2142"/>
      <c r="B1853" s="2401" t="s">
        <v>1896</v>
      </c>
      <c r="C1853" s="435" t="s">
        <v>7151</v>
      </c>
      <c r="D1853" s="435"/>
      <c r="E1853" s="435"/>
      <c r="F1853" s="435"/>
      <c r="G1853" s="435"/>
      <c r="H1853" s="435"/>
      <c r="I1853" s="1952"/>
      <c r="J1853" s="1952"/>
      <c r="K1853" s="1952"/>
      <c r="L1853" s="1952"/>
      <c r="M1853" s="2109">
        <v>3</v>
      </c>
      <c r="N1853" s="2385" t="s">
        <v>1896</v>
      </c>
      <c r="O1853" s="2372">
        <f>'Part IX Scoring Criteria'!O134</f>
        <v>3</v>
      </c>
      <c r="P1853" s="2193"/>
      <c r="Q1853" s="2398" t="str">
        <f>IF(OR($O1853=$M1853,$O1853=0,$O1853=""),"","*CHECK!*")</f>
        <v/>
      </c>
      <c r="R1853" s="1859" t="s">
        <v>4263</v>
      </c>
    </row>
    <row r="1854" spans="1:21" s="2275" customFormat="1" ht="12" customHeight="1">
      <c r="A1854" s="2165" t="s">
        <v>1304</v>
      </c>
      <c r="B1854" s="2401" t="s">
        <v>1898</v>
      </c>
      <c r="C1854" s="435" t="s">
        <v>7152</v>
      </c>
      <c r="D1854" s="435"/>
      <c r="E1854" s="435"/>
      <c r="F1854" s="435"/>
      <c r="G1854" s="435"/>
      <c r="H1854" s="435"/>
      <c r="I1854" s="1952" t="str">
        <f>'Part IX Scoring Criteria'!I135</f>
        <v>https://www.romefloyd.com/departments/transit-department</v>
      </c>
      <c r="J1854" s="1952"/>
      <c r="K1854" s="1952"/>
      <c r="L1854" s="1952"/>
      <c r="M1854" s="2109">
        <v>2</v>
      </c>
      <c r="N1854" s="2385" t="s">
        <v>1898</v>
      </c>
      <c r="O1854" s="2372">
        <f>'Part IX Scoring Criteria'!O135</f>
        <v>0</v>
      </c>
      <c r="P1854" s="2193"/>
      <c r="Q1854" s="2398" t="str">
        <f>IF(OR($O1854=$M1854,$O1854=0,$O1854=""),"","*CHECK!*")</f>
        <v/>
      </c>
      <c r="R1854" s="1859" t="s">
        <v>4263</v>
      </c>
    </row>
    <row r="1855" spans="1:21" s="2275" customFormat="1" ht="21.75" customHeight="1">
      <c r="A1855" s="2253" t="s">
        <v>1304</v>
      </c>
      <c r="B1855" s="2402" t="s">
        <v>2416</v>
      </c>
      <c r="C1855" s="2224" t="s">
        <v>7153</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4263</v>
      </c>
    </row>
    <row r="1856" spans="1:21" s="2275" customFormat="1" ht="12.6" customHeight="1">
      <c r="A1856" s="2391" t="s">
        <v>2608</v>
      </c>
      <c r="B1856" s="1719"/>
      <c r="E1856" s="2380"/>
      <c r="I1856" s="1952" t="str">
        <f>'Part IX Scoring Criteria'!I137</f>
        <v>https://www.romefloyd.com/departments/transit-department</v>
      </c>
      <c r="J1856" s="1952"/>
      <c r="K1856" s="1952"/>
      <c r="L1856" s="1952"/>
      <c r="M1856" s="2109"/>
      <c r="N1856" s="2109"/>
      <c r="O1856" s="2109"/>
      <c r="P1856" s="2109"/>
      <c r="Q1856" s="2367"/>
      <c r="R1856" s="2367"/>
    </row>
    <row r="1857" spans="1:19" s="2285" customFormat="1" ht="12" customHeight="1">
      <c r="A1857" s="2142"/>
      <c r="B1857" s="2393" t="s">
        <v>1178</v>
      </c>
      <c r="C1857" s="1719" t="s">
        <v>7154</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4263</v>
      </c>
    </row>
    <row r="1858" spans="1:19" s="2285" customFormat="1" ht="12" customHeight="1">
      <c r="A1858" s="2142"/>
      <c r="B1858" s="2393"/>
      <c r="C1858" s="1719" t="s">
        <v>7155</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7156</v>
      </c>
      <c r="B1859" s="1719"/>
      <c r="E1859" s="2380"/>
      <c r="K1859" s="1719"/>
      <c r="M1859" s="2109"/>
      <c r="N1859" s="2109"/>
      <c r="O1859" s="2109"/>
      <c r="P1859" s="2109"/>
      <c r="Q1859" s="2367"/>
      <c r="R1859" s="2367"/>
    </row>
    <row r="1860" spans="1:19" s="2275" customFormat="1" ht="11.25" customHeight="1">
      <c r="A1860" s="1818"/>
      <c r="B1860" s="2157" t="s">
        <v>3373</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Rome Transit Department offers five (5) fixed routes. Route One B has a stop on Martha Berry Avenue within 0.1 miles walking from the property pedestrian entrance. The services are offered no less than five days a week. Links to bothschedule and routes can be found at the website (https://www.romefloyd.com/departments/transit-department). See Tab 28 of the application for transit service documentation.</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6393</v>
      </c>
      <c r="C1866" s="2229"/>
      <c r="D1866" s="2229"/>
      <c r="E1866" s="2229"/>
      <c r="G1866" s="2045" t="s">
        <v>3986</v>
      </c>
      <c r="H1866" s="1913" t="str">
        <f>'Part I-Project Information'!$H$77</f>
        <v>HFOP</v>
      </c>
      <c r="M1866" s="2109">
        <v>3</v>
      </c>
      <c r="N1866" s="2310"/>
      <c r="O1866" s="2111">
        <f>'Part IX Scoring Criteria'!O147</f>
        <v>1</v>
      </c>
      <c r="P1866" s="2109"/>
      <c r="Q1866" s="2283" t="str">
        <f>IF(OR($O1866&lt;=$M1866,$O1866=0,$O1866=""),"","*CHECK!*")</f>
        <v/>
      </c>
      <c r="R1866" s="2106" t="s">
        <v>422</v>
      </c>
      <c r="S1866" s="1859" t="s">
        <v>4263</v>
      </c>
    </row>
    <row r="1867" spans="1:19" ht="18.75" customHeight="1">
      <c r="C1867" s="1973" t="s">
        <v>7157</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7062</v>
      </c>
      <c r="I1868" s="1951"/>
      <c r="J1868" s="1951"/>
      <c r="K1868" s="2046" t="s">
        <v>7063</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6838</v>
      </c>
      <c r="D1870" s="2294"/>
      <c r="E1870" s="2404"/>
      <c r="F1870" s="1853"/>
      <c r="G1870" s="1853"/>
      <c r="H1870" s="1951"/>
      <c r="I1870" s="1951"/>
      <c r="J1870" s="1951"/>
      <c r="K1870" s="2046"/>
      <c r="L1870" s="2046"/>
      <c r="M1870" s="2404"/>
    </row>
    <row r="1871" spans="1:19">
      <c r="B1871" s="2085"/>
      <c r="C1871" s="2071" t="str">
        <f>'Part IX Scoring Criteria'!C152</f>
        <v>Elm Street Elementary</v>
      </c>
      <c r="D1871" s="2071"/>
      <c r="E1871" s="2071"/>
      <c r="F1871" s="2071"/>
      <c r="G1871" s="2071"/>
      <c r="H1871" s="2112" t="str">
        <f>'Part IX Scoring Criteria'!H152</f>
        <v>Yes</v>
      </c>
      <c r="I1871" s="2112"/>
      <c r="J1871" s="2112"/>
      <c r="K1871" s="2112" t="str">
        <f>'Part IX Scoring Criteria'!K152</f>
        <v>Yes</v>
      </c>
      <c r="L1871" s="2112"/>
      <c r="M1871" s="2146"/>
    </row>
    <row r="1872" spans="1:19">
      <c r="B1872" s="2085"/>
      <c r="C1872" s="2071" t="str">
        <f>'Part IX Scoring Criteria'!C153</f>
        <v>Rome Middle School</v>
      </c>
      <c r="D1872" s="2071"/>
      <c r="E1872" s="2071"/>
      <c r="F1872" s="2071"/>
      <c r="G1872" s="2071"/>
      <c r="H1872" s="2112" t="str">
        <f>'Part IX Scoring Criteria'!H153</f>
        <v>Yes</v>
      </c>
      <c r="I1872" s="2112"/>
      <c r="J1872" s="2112"/>
      <c r="K1872" s="2112" t="str">
        <f>'Part IX Scoring Criteria'!K153</f>
        <v>No</v>
      </c>
      <c r="L1872" s="2112"/>
      <c r="M1872" s="2146"/>
    </row>
    <row r="1873" spans="1:21" ht="15">
      <c r="B1873" s="2085"/>
      <c r="C1873" s="2071" t="str">
        <f>'Part IX Scoring Criteria'!C154</f>
        <v>Rome High School</v>
      </c>
      <c r="D1873" s="2071"/>
      <c r="E1873" s="2071"/>
      <c r="F1873" s="2071"/>
      <c r="G1873" s="2071"/>
      <c r="H1873" s="2112" t="str">
        <f>'Part IX Scoring Criteria'!H154</f>
        <v>Yes</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3373</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See Tab 29 for attendance zone confirmation and 2018, 2019 Beating the Odds and CCRPI scores for Elm Street Elementary, Rome Middle School, and Rome High School. Included in the BTO scores summary are 5 other schools within the school disctric that are outside of the attendance zone of this subject site.</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7</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5</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7064</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4263</v>
      </c>
      <c r="S1885" s="1856"/>
      <c r="T1885" s="1856"/>
      <c r="U1885" s="1856"/>
    </row>
    <row r="1886" spans="1:21" s="2159" customFormat="1" ht="12" customHeight="1">
      <c r="B1886" s="2225" t="s">
        <v>2324</v>
      </c>
      <c r="C1886" s="2224" t="s">
        <v>7158</v>
      </c>
      <c r="D1886" s="2224"/>
      <c r="E1886" s="2224"/>
      <c r="F1886" s="2224"/>
      <c r="G1886" s="2224"/>
      <c r="H1886" s="2224"/>
      <c r="I1886" s="2224"/>
      <c r="J1886" s="2224"/>
      <c r="K1886" s="2224"/>
      <c r="L1886" s="2225"/>
      <c r="M1886" s="2113" t="s">
        <v>6301</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16 - 26</v>
      </c>
      <c r="N1887" s="1943"/>
      <c r="O1887" s="1943"/>
      <c r="P1887" s="1943"/>
      <c r="S1887" s="1856"/>
      <c r="T1887" s="1856"/>
      <c r="U1887" s="1856"/>
    </row>
    <row r="1888" spans="1:21" s="1818" customFormat="1" ht="12.75" customHeight="1">
      <c r="B1888" s="2256" t="s">
        <v>2325</v>
      </c>
      <c r="C1888" s="435" t="s">
        <v>4157</v>
      </c>
      <c r="D1888" s="435"/>
      <c r="E1888" s="435"/>
      <c r="F1888" s="435"/>
      <c r="G1888" s="435"/>
      <c r="H1888" s="435"/>
      <c r="L1888" s="2256" t="s">
        <v>2325</v>
      </c>
      <c r="M1888" s="1943" t="str">
        <f>'Part IX Scoring Criteria'!M169</f>
        <v>6, 29</v>
      </c>
      <c r="N1888" s="1943"/>
      <c r="O1888" s="1943"/>
      <c r="P1888" s="1943"/>
      <c r="S1888" s="1856"/>
      <c r="T1888" s="1856"/>
      <c r="U1888" s="1856"/>
    </row>
    <row r="1889" spans="1:22" s="1818" customFormat="1" ht="12.75" customHeight="1">
      <c r="B1889" s="2256" t="s">
        <v>2326</v>
      </c>
      <c r="C1889" s="435" t="s">
        <v>6425</v>
      </c>
      <c r="D1889" s="435"/>
      <c r="E1889" s="435"/>
      <c r="F1889" s="435"/>
      <c r="G1889" s="435"/>
      <c r="H1889" s="435"/>
      <c r="L1889" s="2256" t="s">
        <v>2326</v>
      </c>
      <c r="M1889" s="1943" t="str">
        <f>'Part IX Scoring Criteria'!M170</f>
        <v>16 - 26</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6426</v>
      </c>
      <c r="D1890" s="435"/>
      <c r="E1890" s="435"/>
      <c r="F1890" s="435"/>
      <c r="G1890" s="435"/>
      <c r="L1890" s="2256" t="s">
        <v>2327</v>
      </c>
      <c r="M1890" s="1943" t="str">
        <f>'Part IX Scoring Criteria'!M171</f>
        <v>60 - 62</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6549</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7065</v>
      </c>
      <c r="D1893" s="2224"/>
      <c r="E1893" s="2224"/>
      <c r="F1893" s="2224"/>
      <c r="G1893" s="2224"/>
      <c r="H1893" s="2224"/>
      <c r="I1893" s="2224"/>
      <c r="J1893" s="2224"/>
      <c r="K1893" s="2224"/>
      <c r="L1893" s="2224"/>
      <c r="M1893" s="2253">
        <v>1</v>
      </c>
      <c r="N1893" s="2225" t="s">
        <v>4283</v>
      </c>
      <c r="O1893" s="2408">
        <f>'Part IX Scoring Criteria'!O174</f>
        <v>1</v>
      </c>
      <c r="P1893" s="2363"/>
      <c r="Q1893" s="2283" t="str">
        <f>IF(OR($O1893=$M1893,$O1893=0,$O1893=""),"","*CHECK!*")</f>
        <v/>
      </c>
      <c r="R1893" s="1859" t="s">
        <v>4263</v>
      </c>
    </row>
    <row r="1894" spans="1:22" s="1853" customFormat="1" ht="36.75" customHeight="1">
      <c r="A1894" s="2256"/>
      <c r="B1894" s="2225" t="s">
        <v>2325</v>
      </c>
      <c r="C1894" s="2224" t="s">
        <v>7066</v>
      </c>
      <c r="D1894" s="2224"/>
      <c r="E1894" s="2224"/>
      <c r="F1894" s="2224"/>
      <c r="G1894" s="2224"/>
      <c r="H1894" s="2224"/>
      <c r="I1894" s="2224"/>
      <c r="J1894" s="2224"/>
      <c r="K1894" s="2224"/>
      <c r="L1894" s="2224"/>
      <c r="M1894" s="2253">
        <v>1</v>
      </c>
      <c r="N1894" s="2225" t="s">
        <v>6563</v>
      </c>
      <c r="O1894" s="2411">
        <f>'Part IX Scoring Criteria'!O175</f>
        <v>1</v>
      </c>
      <c r="P1894" s="2412"/>
      <c r="Q1894" s="2283" t="str">
        <f>IF(OR($O1894=$M1894,$O1894=0,$O1894=""),"","*CHECK!*")</f>
        <v/>
      </c>
      <c r="R1894" s="1859" t="s">
        <v>4263</v>
      </c>
    </row>
    <row r="1895" spans="1:22" s="1853" customFormat="1" ht="12" customHeight="1">
      <c r="A1895" s="2256"/>
      <c r="B1895" s="2256" t="s">
        <v>2326</v>
      </c>
      <c r="C1895" s="2224" t="s">
        <v>7067</v>
      </c>
      <c r="D1895" s="2224"/>
      <c r="E1895" s="2224"/>
      <c r="F1895" s="2224"/>
      <c r="G1895" s="2224"/>
      <c r="H1895" s="2224"/>
      <c r="I1895" s="2224"/>
      <c r="J1895" s="2224"/>
      <c r="K1895" s="2224"/>
      <c r="L1895" s="2224"/>
      <c r="M1895" s="2165">
        <v>1</v>
      </c>
      <c r="N1895" s="2256" t="s">
        <v>6564</v>
      </c>
      <c r="O1895" s="2408">
        <f>'Part IX Scoring Criteria'!O176</f>
        <v>1</v>
      </c>
      <c r="P1895" s="2363"/>
      <c r="Q1895" s="2283" t="str">
        <f>IF(OR($O1895=$M1895,$O1895=0,$O1895=""),"","*CHECK!*")</f>
        <v/>
      </c>
      <c r="R1895" s="1859" t="s">
        <v>4263</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3987</v>
      </c>
      <c r="D1897" s="1818"/>
      <c r="F1897" s="2413"/>
      <c r="K1897" s="2188"/>
      <c r="L1897" s="2367" t="str">
        <f>IF(OR($O1897=$M1897,$O1897=0,$O1897=""),"","* * Check Score! * *")</f>
        <v/>
      </c>
      <c r="M1897" s="2109">
        <v>2</v>
      </c>
      <c r="N1897" s="2256" t="s">
        <v>1895</v>
      </c>
      <c r="O1897" s="2372">
        <f>'Part IX Scoring Criteria'!O178</f>
        <v>2</v>
      </c>
      <c r="P1897" s="2193"/>
      <c r="Q1897" s="2398" t="str">
        <f>IF(OR($O1897=$M1897,$O1897=0,$O1897=""),"","*CHECK!*")</f>
        <v/>
      </c>
      <c r="R1897" s="1859" t="s">
        <v>4263</v>
      </c>
    </row>
    <row r="1898" spans="1:22" s="2285" customFormat="1" ht="10.5" customHeight="1">
      <c r="A1898" s="1818"/>
      <c r="B1898" s="2157" t="s">
        <v>3373</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The City of Rome adopted the River District Multimodal Analysis and Redevelopment Plan identifying opportunities for improvement of a targeted downtown area, which includes the proposed development.  The plan identifies the state of the area’s infrastructure identifying the need for connectivity and improvement of pedestrian paths.  The plan also identifies housing as a goal.  The plan directly impacts the targeted tenant base as it addresses solutions for infrastructure, traffic, parking and transit.  The plan directly identifies plans for trails within the targeted area.  The plan was developed using a public input process.  
The City of Rome is working to actively implement the Redevelopment plan to address the need for enhanced pedestrian connectivity.  A 2013 SPLOST Referendum provided funding for the Redmond Trail and Mt. Berry Trail, both having trail-heads located less than 0.5 miles from the development location.  The referendum provided $1,800,000 in funding, representing nearly 13% of the proposed development's TDC.  The Mt. Berry Trail is currently under construction and will be substantially complete by fall 2020 and the Redmond Trail is projected to be substantially complete by December 2022.  A detailed breakdown of costs associated with this Trail project is included in Tab 31.  The trails directly impact the tenant base as they are called out in the Redevelopment Plan to provide pedestrian walkways and connectivity within the target area.</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Yes</v>
      </c>
      <c r="P1904" s="2165"/>
      <c r="Q1904" s="2109"/>
      <c r="R1904" s="2245"/>
      <c r="S1904" s="2245"/>
      <c r="T1904" s="2245"/>
      <c r="U1904" s="2245"/>
    </row>
    <row r="1905" spans="1:24" s="2275" customFormat="1" ht="13.5" customHeight="1">
      <c r="A1905" s="2307"/>
      <c r="B1905" s="2415" t="s">
        <v>6550</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7068</v>
      </c>
      <c r="D1906" s="1818"/>
      <c r="G1906" s="2291"/>
      <c r="O1906" s="2165"/>
      <c r="P1906" s="2165"/>
      <c r="Q1906" s="1913"/>
    </row>
    <row r="1907" spans="1:24" s="2310" customFormat="1" ht="12.75" customHeight="1">
      <c r="B1907" s="2393" t="s">
        <v>1896</v>
      </c>
      <c r="C1907" s="2224" t="s">
        <v>6466</v>
      </c>
      <c r="D1907" s="2224"/>
      <c r="E1907" s="2224"/>
      <c r="F1907" s="2224"/>
      <c r="G1907" s="2224"/>
      <c r="H1907" s="2224"/>
      <c r="I1907" s="2224"/>
      <c r="J1907" s="2224"/>
      <c r="K1907" s="2224"/>
      <c r="L1907" s="2224"/>
      <c r="M1907" s="2258" t="s">
        <v>719</v>
      </c>
      <c r="N1907" s="2360" t="s">
        <v>1896</v>
      </c>
      <c r="O1907" s="2265" t="str">
        <f>'Part IX Scoring Criteria'!O188</f>
        <v>Yes</v>
      </c>
      <c r="P1907" s="2253"/>
      <c r="Q1907" s="2029"/>
      <c r="V1907" s="2416"/>
      <c r="W1907" s="2416"/>
    </row>
    <row r="1908" spans="1:24" s="1818" customFormat="1" ht="12.75" customHeight="1">
      <c r="A1908" s="2256"/>
      <c r="B1908" s="2393" t="s">
        <v>1898</v>
      </c>
      <c r="C1908" s="2122" t="s">
        <v>6467</v>
      </c>
      <c r="D1908" s="435"/>
      <c r="E1908" s="435"/>
      <c r="F1908" s="435"/>
      <c r="G1908" s="435"/>
      <c r="H1908" s="435"/>
      <c r="I1908" s="435"/>
      <c r="J1908" s="435"/>
      <c r="K1908" s="435"/>
      <c r="L1908" s="435"/>
      <c r="M1908" s="435"/>
      <c r="N1908" s="2360" t="s">
        <v>1898</v>
      </c>
      <c r="O1908" s="2231" t="str">
        <f>'Part IX Scoring Criteria'!O189</f>
        <v>Yes</v>
      </c>
      <c r="P1908" s="2165"/>
      <c r="Q1908" s="2106"/>
      <c r="V1908" s="2417"/>
      <c r="W1908" s="2417"/>
    </row>
    <row r="1909" spans="1:24" s="1818" customFormat="1" ht="22.5" customHeight="1">
      <c r="A1909" s="2256"/>
      <c r="B1909" s="2393" t="s">
        <v>2416</v>
      </c>
      <c r="C1909" s="2224" t="s">
        <v>6470</v>
      </c>
      <c r="D1909" s="2224"/>
      <c r="E1909" s="2224"/>
      <c r="F1909" s="2224"/>
      <c r="G1909" s="2224"/>
      <c r="H1909" s="2224"/>
      <c r="I1909" s="2224"/>
      <c r="J1909" s="2224"/>
      <c r="K1909" s="2224"/>
      <c r="L1909" s="2224"/>
      <c r="M1909" s="2224"/>
      <c r="N1909" s="2360" t="s">
        <v>2416</v>
      </c>
      <c r="O1909" s="2265" t="str">
        <f>'Part IX Scoring Criteria'!O190</f>
        <v>Yes</v>
      </c>
      <c r="P1909" s="2253"/>
      <c r="Q1909" s="2106"/>
      <c r="V1909" s="2417"/>
      <c r="W1909" s="2417"/>
    </row>
    <row r="1910" spans="1:24" s="1853" customFormat="1" ht="11.45" customHeight="1">
      <c r="A1910" s="2142" t="s">
        <v>2021</v>
      </c>
      <c r="B1910" s="1719" t="s">
        <v>6468</v>
      </c>
      <c r="D1910" s="1818"/>
      <c r="G1910" s="2291"/>
      <c r="O1910" s="2165"/>
      <c r="P1910" s="2165"/>
      <c r="Q1910" s="1913"/>
    </row>
    <row r="1911" spans="1:24" s="2310" customFormat="1" ht="23.25" customHeight="1">
      <c r="B1911" s="2393" t="s">
        <v>1896</v>
      </c>
      <c r="C1911" s="2224" t="s">
        <v>7069</v>
      </c>
      <c r="D1911" s="2224"/>
      <c r="E1911" s="2224"/>
      <c r="F1911" s="2224"/>
      <c r="G1911" s="2224"/>
      <c r="H1911" s="2224"/>
      <c r="I1911" s="2224"/>
      <c r="J1911" s="2224"/>
      <c r="K1911" s="2224"/>
      <c r="L1911" s="2224"/>
      <c r="M1911" s="2258" t="s">
        <v>2021</v>
      </c>
      <c r="N1911" s="2360" t="s">
        <v>1896</v>
      </c>
      <c r="O1911" s="2265" t="str">
        <f>'Part IX Scoring Criteria'!O192</f>
        <v>Yes</v>
      </c>
      <c r="P1911" s="2253"/>
      <c r="Q1911" s="2029"/>
      <c r="V1911" s="2416"/>
      <c r="W1911" s="2416"/>
    </row>
    <row r="1912" spans="1:24" s="1818" customFormat="1" ht="23.25" customHeight="1">
      <c r="A1912" s="2256"/>
      <c r="B1912" s="2393" t="s">
        <v>1898</v>
      </c>
      <c r="C1912" s="2224" t="s">
        <v>7070</v>
      </c>
      <c r="D1912" s="2224"/>
      <c r="E1912" s="2224"/>
      <c r="F1912" s="2224"/>
      <c r="G1912" s="2224"/>
      <c r="H1912" s="2224"/>
      <c r="I1912" s="2224"/>
      <c r="J1912" s="2224"/>
      <c r="K1912" s="2224"/>
      <c r="L1912" s="2224"/>
      <c r="M1912" s="435"/>
      <c r="N1912" s="2360" t="s">
        <v>1898</v>
      </c>
      <c r="O1912" s="2265" t="str">
        <f>'Part IX Scoring Criteria'!O193</f>
        <v>Yes</v>
      </c>
      <c r="P1912" s="2253"/>
      <c r="Q1912" s="2106"/>
      <c r="V1912" s="2417"/>
      <c r="W1912" s="2417"/>
    </row>
    <row r="1913" spans="1:24" s="2275" customFormat="1" ht="12" customHeight="1">
      <c r="A1913" s="1818"/>
      <c r="B1913" s="2157" t="s">
        <v>3373</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 xml:space="preserve">The Developer, Birdsong Housing has engaged South Rome Redevelopment Corporation as consultant to empower their Community Transformation Plan by serving as the Community Based Developer.  For 20 years, South Rome Redevelopment Corporation has served the citizens of Rome through local partnerships with service providers in education, health, transportation, and workforce coupled with the continued support by the City of Rome’s dedication to revitalize the community.  The Community Quarterback board consists of a dynamic group of individuals who are driven to create a successful and meaningful Community Transformation Plan for the community where they live and work.  The Community Improvement Fund will be utilized to activate improvements to the Defined Neighborhood with the direction of community engagement.  The Consulting Agreement is included in Tab 47.  </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0</v>
      </c>
      <c r="P1918" s="2193">
        <f>'Part IX Scoring Criteria'!P199</f>
        <v>0</v>
      </c>
      <c r="Q1918" s="2109" t="s">
        <v>422</v>
      </c>
      <c r="R1918" s="1859" t="s">
        <v>4263</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3988</v>
      </c>
      <c r="D1920" s="2157"/>
      <c r="E1920" s="2157"/>
      <c r="K1920" s="2419"/>
      <c r="M1920" s="2109">
        <v>5</v>
      </c>
      <c r="N1920" s="2256" t="s">
        <v>1893</v>
      </c>
      <c r="O1920" s="2372">
        <f>'Part IX Scoring Criteria'!O201</f>
        <v>0</v>
      </c>
      <c r="P1920" s="2193"/>
      <c r="Q1920" s="2283" t="str">
        <f>IF(O1920&lt;=M1920,"","*CHECK!*")</f>
        <v/>
      </c>
      <c r="R1920" s="1859" t="s">
        <v>4263</v>
      </c>
      <c r="S1920" s="2004"/>
      <c r="T1920" s="2004"/>
      <c r="U1920" s="2004"/>
    </row>
    <row r="1921" spans="1:22" ht="12.75" customHeight="1">
      <c r="B1921" s="2420"/>
      <c r="C1921" s="2161" t="s">
        <v>6552</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6553</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6472</v>
      </c>
      <c r="C1924" s="435"/>
      <c r="G1924" s="2056" t="s">
        <v>6534</v>
      </c>
      <c r="H1924" s="2254" t="str">
        <f>'Part IX Scoring Criteria'!H205</f>
        <v>&lt; Select &gt;</v>
      </c>
      <c r="K1924" s="2256"/>
      <c r="L1924" s="2256"/>
      <c r="M1924" s="2109">
        <v>5</v>
      </c>
      <c r="N1924" s="2256" t="s">
        <v>1895</v>
      </c>
      <c r="O1924" s="2372">
        <f>'Part IX Scoring Criteria'!O205</f>
        <v>0</v>
      </c>
      <c r="P1924" s="2193"/>
      <c r="Q1924" s="2283" t="str">
        <f>IF(O1924&lt;=M1924,"","*CHECK!*")</f>
        <v/>
      </c>
      <c r="R1924" s="1859" t="s">
        <v>4263</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6478</v>
      </c>
      <c r="E1926" s="2046"/>
      <c r="F1926" s="2429" t="s">
        <v>6477</v>
      </c>
      <c r="G1926" s="2429"/>
      <c r="H1926" s="2429"/>
      <c r="I1926" s="2429"/>
      <c r="J1926" s="2429"/>
      <c r="K1926" s="2429"/>
      <c r="L1926" s="2429"/>
      <c r="M1926" s="2046"/>
    </row>
    <row r="1927" spans="1:22" ht="13.5" customHeight="1">
      <c r="B1927" s="1927"/>
      <c r="C1927" s="2046"/>
      <c r="D1927" s="2161" t="s">
        <v>6475</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6476</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6473</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6474</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3373</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N/A</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4237</v>
      </c>
      <c r="C1939" s="2113"/>
      <c r="G1939" s="1913" t="s">
        <v>6542</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6543</v>
      </c>
      <c r="D1940" s="435"/>
      <c r="E1940" s="435"/>
      <c r="F1940" s="2109"/>
      <c r="G1940" s="2165" t="s">
        <v>3274</v>
      </c>
      <c r="H1940" s="2262">
        <f>IF('Part VI-Revenues &amp; Expenses'!$P$67=0,0,'Part VI-Revenues &amp; Expenses'!$P$64/'Part VI-Revenues &amp; Expenses'!$P$67)</f>
        <v>0</v>
      </c>
      <c r="J1940" s="2291" t="s">
        <v>4160</v>
      </c>
      <c r="K1940" s="2263" t="str">
        <f>'Part I-Project Information'!$K$94</f>
        <v>Income Averaging</v>
      </c>
      <c r="L1940" s="2263"/>
      <c r="M1940" s="2165"/>
      <c r="N1940" s="2109"/>
      <c r="O1940" s="2052"/>
      <c r="P1940" s="2193"/>
    </row>
    <row r="1941" spans="1:24" s="1853" customFormat="1" ht="12" customHeight="1">
      <c r="A1941" s="2118" t="s">
        <v>1893</v>
      </c>
      <c r="B1941" s="2113" t="s">
        <v>4158</v>
      </c>
      <c r="C1941" s="2113"/>
      <c r="D1941" s="2113" t="s">
        <v>4159</v>
      </c>
      <c r="M1941" s="2109">
        <v>1</v>
      </c>
      <c r="N1941" s="2256" t="s">
        <v>1893</v>
      </c>
      <c r="O1941" s="2372">
        <f>'Part IX Scoring Criteria'!O222</f>
        <v>0</v>
      </c>
      <c r="P1941" s="2193"/>
      <c r="Q1941" s="2398" t="str">
        <f>IF(OR($O1941=$M1941,$O1941=0,$O1941=""),"","*CHECK!*")</f>
        <v/>
      </c>
      <c r="R1941" s="1859" t="s">
        <v>4263</v>
      </c>
    </row>
    <row r="1942" spans="1:24" s="1853" customFormat="1" ht="12" customHeight="1">
      <c r="A1942" s="2118" t="s">
        <v>1895</v>
      </c>
      <c r="B1942" s="2113" t="s">
        <v>3976</v>
      </c>
      <c r="C1942" s="2113"/>
      <c r="D1942" s="2113" t="s">
        <v>4242</v>
      </c>
      <c r="M1942" s="2052">
        <v>1</v>
      </c>
      <c r="N1942" s="2256" t="s">
        <v>1895</v>
      </c>
      <c r="O1942" s="2372">
        <f>'Part IX Scoring Criteria'!O223</f>
        <v>1</v>
      </c>
      <c r="P1942" s="2193"/>
      <c r="Q1942" s="2398" t="str">
        <f>IF(OR($O1942=$M1942,$O1942=0,$O1942=""),"","*CHECK!*")</f>
        <v/>
      </c>
      <c r="R1942" s="1859" t="s">
        <v>4263</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3397</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3398</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3373</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N/A</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4239</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4263</v>
      </c>
      <c r="S1956" s="1857"/>
      <c r="T1956" s="1857"/>
      <c r="U1956" s="1857"/>
      <c r="V1956" s="1857"/>
      <c r="W1956" s="1968"/>
      <c r="X1956" s="1968"/>
    </row>
    <row r="1957" spans="1:27" s="2113" customFormat="1" ht="11.25">
      <c r="A1957" s="2393"/>
      <c r="B1957" s="2224" t="s">
        <v>6554</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6555</v>
      </c>
      <c r="E1958" s="2122" t="s">
        <v>3453</v>
      </c>
      <c r="G1958" s="2231">
        <f>'Part IX Scoring Criteria'!G239</f>
        <v>0</v>
      </c>
      <c r="H1958" s="2256" t="s">
        <v>587</v>
      </c>
      <c r="I1958" s="2112">
        <f>'Part IX Scoring Criteria'!I239</f>
        <v>0</v>
      </c>
      <c r="J1958" s="2112"/>
      <c r="L1958" s="2434" t="s">
        <v>6557</v>
      </c>
      <c r="M1958" s="2435">
        <f>'Part IX Scoring Criteria'!M239</f>
        <v>0</v>
      </c>
      <c r="N1958" s="2435"/>
    </row>
    <row r="1959" spans="1:27" s="435" customFormat="1" ht="11.25" customHeight="1">
      <c r="A1959" s="2385"/>
      <c r="B1959" s="2393" t="s">
        <v>1898</v>
      </c>
      <c r="C1959" s="2161" t="s">
        <v>6556</v>
      </c>
      <c r="E1959" s="2122" t="s">
        <v>3453</v>
      </c>
      <c r="G1959" s="2231">
        <f>'Part IX Scoring Criteria'!G240</f>
        <v>0</v>
      </c>
      <c r="H1959" s="2256" t="s">
        <v>587</v>
      </c>
      <c r="I1959" s="2112">
        <f>'Part IX Scoring Criteria'!I240</f>
        <v>0</v>
      </c>
      <c r="J1959" s="2112"/>
      <c r="L1959" s="2434" t="s">
        <v>6557</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3373</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N/A</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4161</v>
      </c>
      <c r="D1966" s="2380"/>
      <c r="E1966" s="2113" t="s">
        <v>6568</v>
      </c>
      <c r="G1966" s="2171"/>
      <c r="M1966" s="2109">
        <v>5</v>
      </c>
      <c r="N1966" s="2109"/>
      <c r="O1966" s="2193">
        <f>'Part IX Scoring Criteria'!O247</f>
        <v>3</v>
      </c>
      <c r="P1966" s="2193">
        <f>'Part IX Scoring Criteria'!P247</f>
        <v>0</v>
      </c>
      <c r="Q1966" s="2109" t="s">
        <v>422</v>
      </c>
      <c r="R1966" s="1859" t="s">
        <v>4263</v>
      </c>
      <c r="S1966" s="2436"/>
      <c r="T1966" s="2436"/>
      <c r="U1966" s="2436"/>
      <c r="V1966" s="2436"/>
      <c r="W1966" s="1968"/>
      <c r="X1966" s="1968"/>
    </row>
    <row r="1967" spans="1:27" s="1818" customFormat="1" ht="11.25" customHeight="1">
      <c r="A1967" s="2142" t="s">
        <v>1893</v>
      </c>
      <c r="B1967" s="1719" t="s">
        <v>7071</v>
      </c>
      <c r="M1967" s="2109">
        <v>5</v>
      </c>
      <c r="N1967" s="2256" t="s">
        <v>1893</v>
      </c>
      <c r="O1967" s="2372">
        <f>'Part IX Scoring Criteria'!O248</f>
        <v>0</v>
      </c>
      <c r="P1967" s="2193"/>
      <c r="Q1967" s="2398" t="str">
        <f>IF(OR($O1967=$M1967,$O1967=$M1967-1,$O1967=0,$O1967=""),"","*CHECK!*")</f>
        <v/>
      </c>
      <c r="R1967" s="1859" t="s">
        <v>4263</v>
      </c>
      <c r="S1967" s="2436"/>
      <c r="T1967" s="2436"/>
      <c r="U1967" s="2436"/>
      <c r="V1967" s="2436"/>
    </row>
    <row r="1968" spans="1:27" s="1818" customFormat="1" ht="11.25" customHeight="1">
      <c r="A1968" s="2142" t="s">
        <v>1895</v>
      </c>
      <c r="B1968" s="1719" t="s">
        <v>6569</v>
      </c>
      <c r="M1968" s="2109">
        <v>3</v>
      </c>
      <c r="N1968" s="2256" t="s">
        <v>1895</v>
      </c>
      <c r="O1968" s="2372">
        <f>'Part IX Scoring Criteria'!O249</f>
        <v>3</v>
      </c>
      <c r="P1968" s="2193"/>
      <c r="Q1968" s="2398" t="str">
        <f t="shared" ref="Q1968:Q1969" si="386">IF(OR($O1968=$M1968,$O1968=$M1968-1,$O1968=0,$O1968=""),"","*CHECK!*")</f>
        <v/>
      </c>
      <c r="R1968" s="1859" t="s">
        <v>4263</v>
      </c>
    </row>
    <row r="1969" spans="1:21" s="1853" customFormat="1">
      <c r="A1969" s="2142" t="s">
        <v>719</v>
      </c>
      <c r="B1969" s="1719" t="s">
        <v>6570</v>
      </c>
      <c r="E1969" s="2122" t="s">
        <v>6497</v>
      </c>
      <c r="I1969" s="2283"/>
      <c r="L1969" s="1818"/>
      <c r="M1969" s="2109">
        <v>3</v>
      </c>
      <c r="N1969" s="2256" t="s">
        <v>719</v>
      </c>
      <c r="O1969" s="2372">
        <f>'Part IX Scoring Criteria'!O250</f>
        <v>0</v>
      </c>
      <c r="P1969" s="2193"/>
      <c r="Q1969" s="2398" t="str">
        <f t="shared" si="386"/>
        <v/>
      </c>
      <c r="R1969" s="1859" t="s">
        <v>4263</v>
      </c>
    </row>
    <row r="1970" spans="1:21" s="2275" customFormat="1" ht="10.5" customHeight="1">
      <c r="A1970" s="1818"/>
      <c r="B1970" s="2157" t="s">
        <v>3373</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 proposed project is not within a one mile buffer of a project awarded in the last six competitive funding cycles.</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4264</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3991</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3992</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3993</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4152</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4153</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3994</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7159</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6499</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6542</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6500</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4284</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4017</v>
      </c>
      <c r="D1991" s="1818"/>
      <c r="N1991" s="2385" t="s">
        <v>4018</v>
      </c>
      <c r="O1991" s="2231">
        <f>'Part IX Scoring Criteria'!O272</f>
        <v>0</v>
      </c>
      <c r="P1991" s="2165"/>
      <c r="R1991" s="2367"/>
    </row>
    <row r="1992" spans="1:21" s="2285" customFormat="1" ht="10.5" customHeight="1">
      <c r="A1992" s="2142"/>
      <c r="B1992" s="2385"/>
      <c r="C1992" s="435" t="s">
        <v>6501</v>
      </c>
      <c r="D1992" s="1818"/>
      <c r="N1992" s="2385" t="s">
        <v>4019</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4020</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4017</v>
      </c>
      <c r="D1997" s="435"/>
      <c r="E1997" s="435"/>
      <c r="M1997" s="2109"/>
      <c r="N1997" s="2385" t="s">
        <v>4018</v>
      </c>
      <c r="O1997" s="2231">
        <f>'Part IX Scoring Criteria'!O278</f>
        <v>0</v>
      </c>
      <c r="P1997" s="2165"/>
      <c r="Q1997" s="2109"/>
    </row>
    <row r="1998" spans="1:21" s="2285" customFormat="1" ht="10.5" customHeight="1">
      <c r="A1998" s="2142"/>
      <c r="B1998" s="2385"/>
      <c r="C1998" s="435" t="s">
        <v>6502</v>
      </c>
      <c r="D1998" s="1818"/>
      <c r="N1998" s="2385" t="s">
        <v>4019</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0</v>
      </c>
      <c r="P2005" s="2193"/>
      <c r="Q2005" s="2109" t="s">
        <v>422</v>
      </c>
      <c r="R2005" s="1908" t="s">
        <v>4263</v>
      </c>
      <c r="S2005" s="1908"/>
    </row>
    <row r="2006" spans="1:19" s="2275" customFormat="1" ht="11.25" customHeight="1">
      <c r="A2006" s="2142"/>
      <c r="B2006" s="2122" t="s">
        <v>3275</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3373</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N/A</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7160</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3410</v>
      </c>
      <c r="L2016" s="2224"/>
      <c r="M2016" s="2224"/>
      <c r="N2016" s="2256" t="s">
        <v>2325</v>
      </c>
      <c r="O2016" s="2231">
        <f>'Part IX Scoring Criteria'!O297</f>
        <v>0</v>
      </c>
      <c r="P2016" s="2165"/>
      <c r="R2016" s="2224"/>
      <c r="S2016" s="2224"/>
    </row>
    <row r="2017" spans="1:20" s="2113" customFormat="1" ht="12.75" customHeight="1">
      <c r="B2017" s="2256" t="s">
        <v>2326</v>
      </c>
      <c r="C2017" s="435" t="s">
        <v>3409</v>
      </c>
      <c r="L2017" s="2224"/>
      <c r="M2017" s="2224"/>
      <c r="N2017" s="2256" t="s">
        <v>2326</v>
      </c>
      <c r="O2017" s="2231">
        <f>'Part IX Scoring Criteria'!O298</f>
        <v>0</v>
      </c>
      <c r="P2017" s="2165"/>
      <c r="R2017" s="2224"/>
      <c r="S2017" s="2224"/>
    </row>
    <row r="2018" spans="1:20" s="2113" customFormat="1" ht="33.75" customHeight="1">
      <c r="B2018" s="2225" t="s">
        <v>2327</v>
      </c>
      <c r="C2018" s="2224" t="s">
        <v>3995</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0</v>
      </c>
      <c r="P2020" s="2193"/>
      <c r="Q2020" s="2398" t="str">
        <f>IF(O2020&lt;=M2020,"","*CHECK!*")</f>
        <v/>
      </c>
      <c r="R2020" s="1857" t="s">
        <v>4263</v>
      </c>
      <c r="S2020" s="1857"/>
      <c r="T2020" s="1908"/>
    </row>
    <row r="2021" spans="1:20" s="1853" customFormat="1" ht="12.75" customHeight="1">
      <c r="A2021" s="2418"/>
      <c r="B2021" s="2440" t="s">
        <v>1896</v>
      </c>
      <c r="C2021" s="2224" t="s">
        <v>3998</v>
      </c>
      <c r="D2021" s="2224"/>
      <c r="E2021" s="2224"/>
      <c r="F2021" s="2224"/>
      <c r="G2021" s="2224"/>
      <c r="H2021" s="2224"/>
      <c r="I2021" s="2224"/>
      <c r="R2021" s="1857"/>
      <c r="S2021" s="1857"/>
      <c r="T2021" s="1908"/>
    </row>
    <row r="2022" spans="1:20" s="1853" customFormat="1" ht="12.75" customHeight="1">
      <c r="A2022" s="2418"/>
      <c r="B2022" s="2393"/>
      <c r="C2022" s="2224" t="s">
        <v>3997</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3277</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4154</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6503</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3276</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6849</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3278</v>
      </c>
      <c r="C2032" s="435" t="s">
        <v>4000</v>
      </c>
      <c r="I2032" s="2256" t="s">
        <v>3278</v>
      </c>
      <c r="J2032" s="2183">
        <f>'Part IX Scoring Criteria'!J313</f>
        <v>0</v>
      </c>
      <c r="K2032" s="2183"/>
      <c r="L2032" s="2256" t="s">
        <v>3278</v>
      </c>
      <c r="M2032" s="2175"/>
      <c r="N2032" s="2175"/>
      <c r="O2032" s="2175"/>
      <c r="P2032" s="2175"/>
      <c r="R2032" s="2367"/>
    </row>
    <row r="2033" spans="1:22" s="1853" customFormat="1" ht="12.75" customHeight="1">
      <c r="B2033" s="2256" t="s">
        <v>6504</v>
      </c>
      <c r="C2033" s="435" t="s">
        <v>7161</v>
      </c>
      <c r="I2033" s="2256" t="s">
        <v>6504</v>
      </c>
      <c r="J2033" s="2183">
        <f>'Part IX Scoring Criteria'!J314</f>
        <v>0</v>
      </c>
      <c r="K2033" s="2183"/>
      <c r="L2033" s="2256" t="s">
        <v>6504</v>
      </c>
      <c r="M2033" s="2175"/>
      <c r="N2033" s="2175"/>
      <c r="O2033" s="2175"/>
      <c r="P2033" s="2175"/>
      <c r="R2033" s="2367"/>
    </row>
    <row r="2034" spans="1:22" s="1853" customFormat="1" ht="12.75" customHeight="1">
      <c r="B2034" s="2068" t="s">
        <v>7072</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6507</v>
      </c>
      <c r="H2036" s="1853"/>
      <c r="I2036" s="1853"/>
      <c r="J2036" s="2175">
        <f>'Part VI-Revenues &amp; Expenses'!$P$67</f>
        <v>50</v>
      </c>
      <c r="K2036" s="2175"/>
      <c r="L2036" s="1865"/>
      <c r="M2036" s="1857"/>
      <c r="N2036" s="1857"/>
      <c r="O2036" s="2442"/>
      <c r="P2036" s="1857"/>
    </row>
    <row r="2037" spans="1:22" s="1853" customFormat="1" ht="13.5" customHeight="1">
      <c r="C2037" s="1865"/>
      <c r="D2037" s="1865"/>
      <c r="E2037" s="1865"/>
      <c r="F2037" s="2291" t="s">
        <v>6508</v>
      </c>
      <c r="J2037" s="2443">
        <f>J2034/J2036</f>
        <v>0</v>
      </c>
      <c r="K2037" s="2443"/>
      <c r="M2037" s="2443">
        <f>IF($J2036=0,0,$M2034/$J2036)</f>
        <v>0</v>
      </c>
      <c r="N2037" s="2443"/>
      <c r="O2037" s="2443"/>
      <c r="P2037" s="2443"/>
    </row>
    <row r="2038" spans="1:22" s="2275" customFormat="1" ht="12.75" customHeight="1">
      <c r="C2038" s="1865"/>
      <c r="D2038" s="1865"/>
      <c r="E2038" s="1865"/>
      <c r="F2038" s="2113" t="s">
        <v>6509</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3279</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4263</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3404</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4002</v>
      </c>
      <c r="N2043" s="2385" t="s">
        <v>2416</v>
      </c>
      <c r="O2043" s="2265">
        <f>'Part IX Scoring Criteria'!O324</f>
        <v>0</v>
      </c>
      <c r="P2043" s="2165"/>
    </row>
    <row r="2044" spans="1:22" s="1853" customFormat="1" ht="12" customHeight="1">
      <c r="B2044" s="2157" t="s">
        <v>3373</v>
      </c>
      <c r="N2044" s="2052"/>
      <c r="O2044" s="2052"/>
      <c r="P2044" s="2052"/>
    </row>
    <row r="2045" spans="1:22" s="2275" customFormat="1" ht="21.75" customHeight="1">
      <c r="A2045" s="2227" t="str">
        <f>'Part IX Scoring Criteria'!A326</f>
        <v>N/A</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7146</v>
      </c>
      <c r="I2049" s="2045" t="s">
        <v>6542</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4155</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4263</v>
      </c>
    </row>
    <row r="2054" spans="1:19" s="2392" customFormat="1" ht="12" customHeight="1">
      <c r="A2054" s="2310"/>
      <c r="B2054" s="435" t="s">
        <v>7162</v>
      </c>
      <c r="C2054" s="435"/>
      <c r="D2054" s="435"/>
      <c r="E2054" s="435"/>
      <c r="F2054" s="435"/>
      <c r="G2054" s="435"/>
      <c r="H2054" s="435"/>
      <c r="I2054" s="435"/>
      <c r="J2054" s="435"/>
      <c r="K2054" s="435"/>
      <c r="L2054" s="435"/>
      <c r="M2054" s="1906" t="s">
        <v>7163</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50</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7164</v>
      </c>
      <c r="B2060" s="2224" t="s">
        <v>4156</v>
      </c>
      <c r="C2060" s="2224"/>
      <c r="H2060" s="2224"/>
      <c r="M2060" s="2310">
        <v>2</v>
      </c>
      <c r="N2060" s="2225" t="s">
        <v>1895</v>
      </c>
      <c r="O2060" s="2372">
        <f>'Part IX Scoring Criteria'!O341</f>
        <v>0</v>
      </c>
      <c r="P2060" s="2372"/>
      <c r="Q2060" s="2398" t="str">
        <f>IF(OR($O2060=$M2060,$O2060=0,$O2060=""),"","*CHECK!*")</f>
        <v/>
      </c>
      <c r="R2060" s="1859" t="s">
        <v>4263</v>
      </c>
    </row>
    <row r="2061" spans="1:19" s="2392" customFormat="1" ht="11.25" customHeight="1">
      <c r="A2061" s="2446"/>
      <c r="B2061" s="2224" t="s">
        <v>7073</v>
      </c>
      <c r="C2061" s="2224"/>
      <c r="D2061" s="2224"/>
      <c r="E2061" s="2224"/>
      <c r="F2061" s="2224"/>
      <c r="G2061" s="2224"/>
      <c r="H2061" s="2224"/>
      <c r="I2061" s="2224"/>
      <c r="J2061" s="2224"/>
      <c r="K2061" s="2224"/>
      <c r="L2061" s="2224"/>
      <c r="M2061" s="1968" t="s">
        <v>4003</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50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3373</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N/A</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4238</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3301</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3302</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3303</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6512</v>
      </c>
      <c r="C2077" s="2229"/>
      <c r="D2077" s="2229"/>
      <c r="E2077" s="2229"/>
      <c r="F2077" s="2229"/>
      <c r="G2077" s="2171" t="s">
        <v>7146</v>
      </c>
      <c r="H2077" s="2229"/>
      <c r="I2077" s="2122" t="s">
        <v>3986</v>
      </c>
      <c r="J2077" s="2122" t="str">
        <f>'Part I-Project Information'!$H$77</f>
        <v>HFOP</v>
      </c>
      <c r="K2077" s="2229"/>
      <c r="L2077" s="2229"/>
      <c r="M2077" s="2109">
        <v>2</v>
      </c>
      <c r="N2077" s="2310"/>
      <c r="O2077" s="2372">
        <f>'Part IX Scoring Criteria'!O358</f>
        <v>0</v>
      </c>
      <c r="P2077" s="2193"/>
      <c r="Q2077" s="2109" t="s">
        <v>422</v>
      </c>
      <c r="R2077" s="1859" t="s">
        <v>2554</v>
      </c>
    </row>
    <row r="2078" spans="1:18" s="2275" customFormat="1" ht="12" customHeight="1">
      <c r="A2078" s="2142" t="s">
        <v>1893</v>
      </c>
      <c r="B2078" s="1719" t="s">
        <v>6515</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6518</v>
      </c>
      <c r="D2080" s="2122" t="s">
        <v>6558</v>
      </c>
      <c r="E2080" s="2122"/>
      <c r="F2080" s="2122"/>
      <c r="G2080" s="2122"/>
      <c r="H2080" s="2122"/>
      <c r="K2080" s="2122"/>
      <c r="L2080" s="2122"/>
      <c r="N2080" s="2109"/>
      <c r="O2080" s="435" t="s">
        <v>4261</v>
      </c>
      <c r="P2080" s="435"/>
      <c r="Q2080" s="2109"/>
    </row>
    <row r="2081" spans="1:23" s="2275" customFormat="1" ht="10.5" customHeight="1">
      <c r="A2081" s="2374"/>
      <c r="B2081" s="2271" t="s">
        <v>2324</v>
      </c>
      <c r="C2081" s="2113" t="s">
        <v>6513</v>
      </c>
      <c r="N2081" s="2271" t="s">
        <v>2324</v>
      </c>
      <c r="O2081" s="2447">
        <f>'Part IX Scoring Criteria'!O362</f>
        <v>0</v>
      </c>
      <c r="P2081" s="2373"/>
    </row>
    <row r="2082" spans="1:23" s="2392" customFormat="1" ht="21.75" customHeight="1">
      <c r="A2082" s="2258"/>
      <c r="B2082" s="2225" t="s">
        <v>2325</v>
      </c>
      <c r="C2082" s="2224" t="s">
        <v>6514</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6516</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6517</v>
      </c>
      <c r="N2084" s="2256" t="s">
        <v>2327</v>
      </c>
      <c r="O2084" s="2137">
        <f>'Part IX Scoring Criteria'!O365</f>
        <v>0</v>
      </c>
      <c r="P2084" s="2045"/>
    </row>
    <row r="2085" spans="1:23" s="2285" customFormat="1" ht="11.25" customHeight="1">
      <c r="A2085" s="2307"/>
      <c r="B2085" s="2122" t="s">
        <v>6519</v>
      </c>
      <c r="D2085" s="2122"/>
      <c r="E2085" s="2122"/>
      <c r="F2085" s="2122"/>
      <c r="G2085" s="2122"/>
      <c r="H2085" s="2122" t="s">
        <v>6558</v>
      </c>
      <c r="K2085" s="2122"/>
      <c r="L2085" s="2122"/>
      <c r="M2085" s="2109"/>
      <c r="N2085" s="2109"/>
      <c r="O2085" s="2113" t="s">
        <v>4261</v>
      </c>
      <c r="P2085" s="2113"/>
      <c r="Q2085" s="2109"/>
    </row>
    <row r="2086" spans="1:23" s="2275" customFormat="1" ht="12.75" customHeight="1">
      <c r="A2086" s="2374"/>
      <c r="B2086" s="2271" t="s">
        <v>2324</v>
      </c>
      <c r="C2086" s="2299" t="s">
        <v>6520</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6521</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6522</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6558</v>
      </c>
      <c r="C2090" s="2256"/>
      <c r="D2090" s="2256"/>
      <c r="E2090" s="2256"/>
      <c r="F2090" s="2256"/>
      <c r="J2090" s="2224"/>
      <c r="K2090" s="2224"/>
      <c r="L2090" s="2224"/>
      <c r="N2090" s="2052"/>
      <c r="O2090" s="2113" t="s">
        <v>4261</v>
      </c>
      <c r="P2090" s="2113"/>
      <c r="Q2090" s="1913"/>
      <c r="R2090" s="2275"/>
      <c r="S2090" s="2275"/>
      <c r="T2090" s="2275"/>
      <c r="U2090" s="2275"/>
    </row>
    <row r="2091" spans="1:23" s="2392" customFormat="1" ht="11.25" customHeight="1">
      <c r="A2091" s="2449"/>
      <c r="B2091" s="2393" t="s">
        <v>1896</v>
      </c>
      <c r="C2091" s="2450" t="s">
        <v>6559</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6560</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3373</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N/A</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6524</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6525</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6526</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6527</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6850</v>
      </c>
      <c r="C2114" s="2113"/>
      <c r="D2114" s="2113"/>
      <c r="E2114" s="435"/>
      <c r="G2114" s="2113"/>
      <c r="I2114" s="1968" t="s">
        <v>6530</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61</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7074</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1. APPLICATION COMPLETENESS: Applicant believes that the application is completed fully, which does not contain any missing/incomplete documents nor requires financial and other adjustments.
2. DEEPER TARGETING / RENT / INCOME RESTRICTIONS: The Applicant will be utilizing the Income Averaging set-aside with an overall average AMI at 58.00%.
10. MIXED INCOME DEVELOPMENTS: The Applicant has elected the Income Averaging set-aside and will not contain any market rate units.
15.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Qualified. Please see Tab 19 for Qualification Determination.</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4166</v>
      </c>
      <c r="B2128" s="2454"/>
      <c r="C2128" s="2454"/>
      <c r="D2128" s="2454"/>
      <c r="E2128" s="2454"/>
      <c r="F2128" s="2454"/>
      <c r="G2128" s="2454"/>
      <c r="H2128" s="2454"/>
    </row>
    <row r="2129" spans="1:11" s="2455" customFormat="1" ht="18.75">
      <c r="A2129" s="2454" t="s">
        <v>4167</v>
      </c>
      <c r="B2129" s="2454"/>
      <c r="C2129" s="2454"/>
      <c r="D2129" s="2454"/>
      <c r="E2129" s="2454"/>
      <c r="F2129" s="2454"/>
      <c r="G2129" s="2454"/>
      <c r="H2129" s="2454"/>
    </row>
    <row r="2130" spans="1:11" s="2455" customFormat="1" ht="15" customHeight="1">
      <c r="A2130" s="2456" t="s">
        <v>4168</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4169</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4210</v>
      </c>
      <c r="K2131" s="2459"/>
    </row>
    <row r="2132" spans="1:11" s="2455" customFormat="1" ht="15" customHeight="1">
      <c r="A2132" s="2456" t="s">
        <v>4170</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4172</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4173</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4174</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4175</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4176</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4177</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4178</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4179</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4180</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4181</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4182</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4183</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4184</v>
      </c>
      <c r="C2151" s="2467"/>
      <c r="D2151" s="2467"/>
      <c r="E2151" s="2467"/>
      <c r="F2151" s="2467"/>
      <c r="G2151" s="2467"/>
      <c r="H2151" s="2467"/>
      <c r="I2151" s="2467"/>
      <c r="J2151" s="2467"/>
      <c r="K2151" s="2468"/>
    </row>
    <row r="2152" spans="1:13" s="2455" customFormat="1" ht="14.25" customHeight="1">
      <c r="A2152" s="2470" t="s">
        <v>7165</v>
      </c>
      <c r="C2152" s="2467"/>
      <c r="D2152" s="2467"/>
      <c r="E2152" s="2467"/>
      <c r="F2152" s="2467"/>
      <c r="G2152" s="2467"/>
      <c r="H2152" s="2467"/>
      <c r="I2152" s="2467"/>
      <c r="J2152" s="2467"/>
      <c r="K2152" s="2468"/>
    </row>
    <row r="2153" spans="1:13" s="2455" customFormat="1" ht="14.25" customHeight="1">
      <c r="A2153" s="2470" t="s">
        <v>7166</v>
      </c>
      <c r="C2153" s="2467"/>
      <c r="D2153" s="2467"/>
      <c r="E2153" s="2467"/>
      <c r="F2153" s="2467"/>
      <c r="G2153" s="2467"/>
      <c r="H2153" s="2467"/>
      <c r="I2153" s="2467"/>
      <c r="J2153" s="2467"/>
      <c r="K2153" s="2468"/>
    </row>
    <row r="2154" spans="1:13" s="2455" customFormat="1" ht="14.25" customHeight="1">
      <c r="A2154" s="2470" t="s">
        <v>7167</v>
      </c>
      <c r="C2154" s="2467"/>
      <c r="D2154" s="2467"/>
      <c r="E2154" s="2467"/>
      <c r="F2154" s="2467"/>
      <c r="G2154" s="2467"/>
      <c r="H2154" s="2467"/>
      <c r="I2154" s="2467"/>
      <c r="J2154" s="2467"/>
      <c r="K2154" s="2468"/>
    </row>
    <row r="2155" spans="1:13" s="2455" customFormat="1" ht="14.25" customHeight="1">
      <c r="A2155" s="2470" t="s">
        <v>7168</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4214</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4185</v>
      </c>
      <c r="H2158" s="2459"/>
      <c r="I2158" s="2459"/>
      <c r="J2158" s="2459"/>
      <c r="K2158" s="2459"/>
    </row>
    <row r="2159" spans="1:13" s="2455" customFormat="1" ht="56.25" customHeight="1">
      <c r="B2159" s="2466" t="s">
        <v>7169</v>
      </c>
      <c r="C2159" s="2466" t="s">
        <v>7170</v>
      </c>
      <c r="D2159" s="2466" t="s">
        <v>7171</v>
      </c>
      <c r="E2159" s="2471" t="s">
        <v>6312</v>
      </c>
      <c r="F2159" s="2471"/>
      <c r="G2159" s="2466" t="s">
        <v>4186</v>
      </c>
      <c r="H2159" s="2466" t="s">
        <v>4187</v>
      </c>
      <c r="J2159" s="2466" t="s">
        <v>4188</v>
      </c>
      <c r="K2159" s="2466" t="s">
        <v>4189</v>
      </c>
      <c r="L2159" s="2472" t="s">
        <v>4190</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4191</v>
      </c>
      <c r="H2179" s="2483" t="e">
        <f>SUM(H2160:H2178)</f>
        <v>#VALUE!</v>
      </c>
      <c r="I2179" s="2457"/>
      <c r="J2179" s="2481" t="s">
        <v>4192</v>
      </c>
      <c r="K2179" s="2463" t="e">
        <f>SUM(K2160:K2178)</f>
        <v>#VALUE!</v>
      </c>
      <c r="L2179" s="2472"/>
      <c r="M2179" s="2472"/>
    </row>
    <row r="2180" spans="1:13" s="2455" customFormat="1" ht="15" customHeight="1">
      <c r="B2180" s="2481"/>
      <c r="C2180" s="2457" t="s">
        <v>4193</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4194</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4195</v>
      </c>
    </row>
    <row r="2184" spans="1:13" s="2455" customFormat="1" ht="48" customHeight="1">
      <c r="C2184" s="2466" t="s">
        <v>4196</v>
      </c>
      <c r="D2184" s="2466" t="s">
        <v>6272</v>
      </c>
      <c r="E2184" s="2455" t="s">
        <v>4212</v>
      </c>
      <c r="G2184" s="2471" t="s">
        <v>4197</v>
      </c>
      <c r="H2184" s="2471"/>
      <c r="I2184" s="2455" t="s">
        <v>4211</v>
      </c>
    </row>
    <row r="2185" spans="1:13" s="2455" customFormat="1" ht="15" customHeight="1">
      <c r="A2185" s="2466"/>
      <c r="C2185" s="2484" t="e">
        <f>SUMIF(C2160:C2178, "0", H2160:H2178)</f>
        <v>#VALUE!</v>
      </c>
      <c r="D2185" s="2466" t="e">
        <f t="shared" ref="D2185:D2190" si="389">ROUNDUP(C2185*1.1,0)</f>
        <v>#VALUE!</v>
      </c>
      <c r="E2185" s="2457" t="s">
        <v>4198</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4199</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4200</v>
      </c>
      <c r="F2190" s="2457"/>
      <c r="G2190" s="2485">
        <v>303489.59999999998</v>
      </c>
      <c r="H2190" s="2485"/>
      <c r="I2190" s="2486">
        <f t="shared" si="390"/>
        <v>0</v>
      </c>
      <c r="J2190" s="2486"/>
    </row>
    <row r="2191" spans="1:13" s="2455" customFormat="1" ht="16.5">
      <c r="A2191" s="2466" t="s">
        <v>4201</v>
      </c>
      <c r="B2191" s="2483" t="e">
        <f>SUM(C2185:C2190)</f>
        <v>#VALUE!</v>
      </c>
      <c r="C2191" s="2466"/>
      <c r="D2191" s="2466" t="e">
        <f>SUM(D2185:D2190)</f>
        <v>#VALUE!</v>
      </c>
      <c r="J2191" s="2482" t="s">
        <v>4202</v>
      </c>
      <c r="K2191" s="2487" t="e">
        <f>SUM(I2185:I2189)</f>
        <v>#VALUE!</v>
      </c>
    </row>
    <row r="2192" spans="1:13" s="2455" customFormat="1" ht="16.5"/>
    <row r="2193" spans="1:11" s="2455" customFormat="1" ht="16.5">
      <c r="A2193" s="2455" t="s">
        <v>4203</v>
      </c>
    </row>
    <row r="2194" spans="1:11" s="2455" customFormat="1" ht="15" customHeight="1">
      <c r="A2194" s="2466"/>
      <c r="E2194" s="2455" t="s">
        <v>4204</v>
      </c>
      <c r="K2194" s="2471">
        <f>J2138</f>
        <v>0</v>
      </c>
    </row>
    <row r="2195" spans="1:11" s="2455" customFormat="1" ht="16.5">
      <c r="A2195" s="2466"/>
      <c r="E2195" s="2455" t="s">
        <v>4205</v>
      </c>
      <c r="K2195" s="2471" t="e">
        <f>K2181</f>
        <v>#VALUE!</v>
      </c>
    </row>
    <row r="2196" spans="1:11" s="2455" customFormat="1" ht="16.5">
      <c r="A2196" s="2466"/>
      <c r="E2196" s="2455" t="s">
        <v>4206</v>
      </c>
      <c r="K2196" s="2471" t="e">
        <f>K2191</f>
        <v>#VALUE!</v>
      </c>
    </row>
    <row r="2197" spans="1:11" s="2455" customFormat="1" ht="16.5">
      <c r="A2197" s="2466"/>
      <c r="C2197" s="2457" t="s">
        <v>4207</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0kgb8kQx+Epc+I9USXRHA6f68XzK0vlJamPZVR13IN6/tr+ZAhJsfHlPqnyO1Y7vV8dgyVJjehvNswIDrSCDdg==" saltValue="0WOUfNSrWebtl8a+KdFy1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448FBA14-CBBA-499D-AB22-AEDCF0DBACB7}">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3" t="s">
        <v>2582</v>
      </c>
      <c r="B5" s="4753"/>
      <c r="C5" s="4753"/>
      <c r="D5" s="4753"/>
      <c r="E5" s="4753"/>
      <c r="F5" s="4753"/>
      <c r="G5" s="4753"/>
      <c r="H5" s="4753"/>
      <c r="I5" s="4753"/>
      <c r="J5" s="4753"/>
      <c r="K5" s="4753"/>
      <c r="L5" s="4753"/>
      <c r="M5" s="4753"/>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4" t="s">
        <v>1817</v>
      </c>
      <c r="B9" s="4754"/>
      <c r="C9" s="4754"/>
      <c r="D9" s="4754"/>
      <c r="E9" s="4754"/>
      <c r="F9" s="4754"/>
      <c r="G9" s="4754"/>
      <c r="H9" s="4754"/>
      <c r="I9" s="4754"/>
      <c r="J9" s="4754"/>
      <c r="K9" s="4754"/>
      <c r="L9" s="4754"/>
      <c r="M9" s="4754"/>
    </row>
    <row r="10" spans="1:26" ht="6.75" customHeight="1">
      <c r="A10" s="4754"/>
      <c r="B10" s="4754"/>
      <c r="C10" s="4754"/>
      <c r="D10" s="4754"/>
      <c r="E10" s="4754"/>
      <c r="F10" s="4754"/>
      <c r="G10" s="4754"/>
      <c r="H10" s="4754"/>
      <c r="I10" s="4754"/>
      <c r="J10" s="4754"/>
      <c r="K10" s="4754"/>
      <c r="L10" s="4754"/>
      <c r="M10" s="4754"/>
    </row>
    <row r="11" spans="1:26" ht="44.25" customHeight="1">
      <c r="A11" s="4755" t="s">
        <v>6428</v>
      </c>
      <c r="B11" s="4755"/>
      <c r="C11" s="4755"/>
      <c r="D11" s="4755"/>
      <c r="E11" s="4755"/>
      <c r="F11" s="4755"/>
      <c r="G11" s="4755"/>
      <c r="H11" s="4755"/>
      <c r="I11" s="4755"/>
      <c r="J11" s="4755"/>
      <c r="K11" s="4755"/>
      <c r="L11" s="4755"/>
      <c r="M11" s="4755"/>
    </row>
    <row r="12" spans="1:26" ht="3" customHeight="1">
      <c r="A12" s="4754"/>
      <c r="B12" s="4754"/>
      <c r="C12" s="4754"/>
      <c r="D12" s="4754"/>
      <c r="E12" s="4754"/>
      <c r="F12" s="4754"/>
      <c r="G12" s="4754"/>
      <c r="H12" s="4754"/>
      <c r="I12" s="4754"/>
      <c r="J12" s="4754"/>
      <c r="K12" s="4754"/>
      <c r="L12" s="4754"/>
      <c r="M12" s="4754"/>
    </row>
    <row r="13" spans="1:26" ht="101.25" customHeight="1">
      <c r="A13" s="3127" t="s">
        <v>1658</v>
      </c>
      <c r="B13" s="4756" t="s">
        <v>3315</v>
      </c>
      <c r="C13" s="4756"/>
      <c r="D13" s="4756"/>
      <c r="E13" s="4756"/>
      <c r="F13" s="4756"/>
      <c r="G13" s="4756"/>
      <c r="H13" s="4756"/>
      <c r="I13" s="4756"/>
      <c r="J13" s="4756"/>
      <c r="K13" s="4756"/>
      <c r="L13" s="4756"/>
      <c r="M13" s="4756"/>
      <c r="U13" s="3121" t="s">
        <v>6575</v>
      </c>
    </row>
    <row r="14" spans="1:26" ht="47.25" customHeight="1">
      <c r="A14" s="3127" t="s">
        <v>1659</v>
      </c>
      <c r="B14" s="4756" t="s">
        <v>3316</v>
      </c>
      <c r="C14" s="4756"/>
      <c r="D14" s="4756"/>
      <c r="E14" s="4756"/>
      <c r="F14" s="4756"/>
      <c r="G14" s="4756"/>
      <c r="H14" s="4756"/>
      <c r="I14" s="4756"/>
      <c r="J14" s="4756"/>
      <c r="K14" s="4756"/>
      <c r="L14" s="4756"/>
      <c r="M14" s="4756"/>
    </row>
    <row r="15" spans="1:26" ht="117" customHeight="1">
      <c r="A15" s="3127" t="s">
        <v>1660</v>
      </c>
      <c r="B15" s="4756" t="s">
        <v>3317</v>
      </c>
      <c r="C15" s="4756"/>
      <c r="D15" s="4756"/>
      <c r="E15" s="4756"/>
      <c r="F15" s="4756"/>
      <c r="G15" s="4756"/>
      <c r="H15" s="4756"/>
      <c r="I15" s="4756"/>
      <c r="J15" s="4756"/>
      <c r="K15" s="4756"/>
      <c r="L15" s="4756"/>
      <c r="M15" s="4756"/>
    </row>
    <row r="16" spans="1:26" ht="147" customHeight="1">
      <c r="A16" s="3127" t="s">
        <v>2260</v>
      </c>
      <c r="B16" s="4756" t="s">
        <v>3190</v>
      </c>
      <c r="C16" s="4756"/>
      <c r="D16" s="4756"/>
      <c r="E16" s="4756"/>
      <c r="F16" s="4756"/>
      <c r="G16" s="4756"/>
      <c r="H16" s="4756"/>
      <c r="I16" s="4756"/>
      <c r="J16" s="4756"/>
      <c r="K16" s="4756"/>
      <c r="L16" s="4756"/>
      <c r="M16" s="4756"/>
    </row>
    <row r="17" spans="1:13" ht="48.75" customHeight="1">
      <c r="A17" s="3127" t="s">
        <v>1487</v>
      </c>
      <c r="B17" s="4756" t="s">
        <v>653</v>
      </c>
      <c r="C17" s="4756"/>
      <c r="D17" s="4756"/>
      <c r="E17" s="4756"/>
      <c r="F17" s="4756"/>
      <c r="G17" s="4756"/>
      <c r="H17" s="4756"/>
      <c r="I17" s="4756"/>
      <c r="J17" s="4756"/>
      <c r="K17" s="4756"/>
      <c r="L17" s="4756"/>
      <c r="M17" s="4756"/>
    </row>
    <row r="18" spans="1:13" ht="165" customHeight="1">
      <c r="A18" s="3127" t="s">
        <v>1488</v>
      </c>
      <c r="B18" s="4756" t="s">
        <v>3189</v>
      </c>
      <c r="C18" s="4756"/>
      <c r="D18" s="4756"/>
      <c r="E18" s="4756"/>
      <c r="F18" s="4756"/>
      <c r="G18" s="4756"/>
      <c r="H18" s="4756"/>
      <c r="I18" s="4756"/>
      <c r="J18" s="4756"/>
      <c r="K18" s="4756"/>
      <c r="L18" s="4756"/>
      <c r="M18" s="4756"/>
    </row>
    <row r="19" spans="1:13" ht="48.75" customHeight="1">
      <c r="A19" s="3127" t="s">
        <v>92</v>
      </c>
      <c r="B19" s="4752" t="s">
        <v>3318</v>
      </c>
      <c r="C19" s="4752"/>
      <c r="D19" s="4752"/>
      <c r="E19" s="4752"/>
      <c r="F19" s="4752"/>
      <c r="G19" s="4752"/>
      <c r="H19" s="4752"/>
      <c r="I19" s="4752"/>
      <c r="J19" s="4752"/>
      <c r="K19" s="4752"/>
      <c r="L19" s="4752"/>
      <c r="M19" s="4752"/>
    </row>
    <row r="20" spans="1:13" ht="50.25" customHeight="1">
      <c r="A20" s="3127" t="s">
        <v>489</v>
      </c>
      <c r="B20" s="4756" t="s">
        <v>3191</v>
      </c>
      <c r="C20" s="4756"/>
      <c r="D20" s="4756"/>
      <c r="E20" s="4756"/>
      <c r="F20" s="4756"/>
      <c r="G20" s="4756"/>
      <c r="H20" s="4756"/>
      <c r="I20" s="4756"/>
      <c r="J20" s="4756"/>
      <c r="K20" s="4756"/>
      <c r="L20" s="4756"/>
      <c r="M20" s="4756"/>
    </row>
    <row r="21" spans="1:13" ht="31.5" customHeight="1">
      <c r="A21" s="3127" t="s">
        <v>490</v>
      </c>
      <c r="B21" s="4756" t="s">
        <v>3209</v>
      </c>
      <c r="C21" s="4756"/>
      <c r="D21" s="4756"/>
      <c r="E21" s="4756"/>
      <c r="F21" s="4756"/>
      <c r="G21" s="4756"/>
      <c r="H21" s="4756"/>
      <c r="I21" s="4756"/>
      <c r="J21" s="4756"/>
      <c r="K21" s="4756"/>
      <c r="L21" s="4756"/>
      <c r="M21" s="4756"/>
    </row>
    <row r="22" spans="1:13" ht="1.5" customHeight="1">
      <c r="A22" s="4754"/>
      <c r="B22" s="4754"/>
      <c r="C22" s="4754"/>
      <c r="D22" s="4754"/>
      <c r="E22" s="4754"/>
      <c r="F22" s="4754"/>
      <c r="G22" s="4754"/>
      <c r="H22" s="4754"/>
      <c r="I22" s="4754"/>
      <c r="J22" s="4754"/>
      <c r="K22" s="4754"/>
      <c r="L22" s="4754"/>
      <c r="M22" s="4754"/>
    </row>
    <row r="23" spans="1:13" ht="3" customHeight="1">
      <c r="A23" s="4754"/>
      <c r="B23" s="4754"/>
      <c r="C23" s="4754"/>
      <c r="D23" s="4754"/>
      <c r="E23" s="4754"/>
      <c r="F23" s="4754"/>
      <c r="G23" s="4754"/>
      <c r="H23" s="4754"/>
      <c r="I23" s="4754"/>
      <c r="J23" s="4754"/>
      <c r="K23" s="4754"/>
      <c r="L23" s="4754"/>
      <c r="M23" s="4754"/>
    </row>
    <row r="24" spans="1:13" ht="13.5" customHeight="1">
      <c r="A24" s="4754" t="s">
        <v>1408</v>
      </c>
      <c r="B24" s="4754"/>
      <c r="C24" s="4754"/>
      <c r="D24" s="4754"/>
      <c r="E24" s="4754"/>
      <c r="F24" s="4754"/>
      <c r="G24" s="4754"/>
      <c r="H24" s="4754"/>
      <c r="I24" s="4754"/>
      <c r="J24" s="4754"/>
      <c r="K24" s="4754"/>
      <c r="L24" s="4754"/>
      <c r="M24" s="4754"/>
    </row>
    <row r="25" spans="1:13" ht="32.25" customHeight="1">
      <c r="A25" s="3127" t="s">
        <v>1409</v>
      </c>
      <c r="B25" s="4756" t="s">
        <v>3210</v>
      </c>
      <c r="C25" s="4756"/>
      <c r="D25" s="4756"/>
      <c r="E25" s="4756"/>
      <c r="F25" s="4756"/>
      <c r="G25" s="4756"/>
      <c r="H25" s="4756"/>
      <c r="I25" s="4756"/>
      <c r="J25" s="4756"/>
      <c r="K25" s="4756"/>
      <c r="L25" s="4756"/>
      <c r="M25" s="4756"/>
    </row>
    <row r="26" spans="1:13" ht="31.5" customHeight="1">
      <c r="A26" s="3127" t="s">
        <v>1409</v>
      </c>
      <c r="B26" s="4756" t="s">
        <v>3211</v>
      </c>
      <c r="C26" s="4756"/>
      <c r="D26" s="4756"/>
      <c r="E26" s="4756"/>
      <c r="F26" s="4756"/>
      <c r="G26" s="4756"/>
      <c r="H26" s="4756"/>
      <c r="I26" s="4756"/>
      <c r="J26" s="4756"/>
      <c r="K26" s="4756"/>
      <c r="L26" s="4756"/>
      <c r="M26" s="4756"/>
    </row>
    <row r="27" spans="1:13" ht="78.75" customHeight="1">
      <c r="A27" s="3127" t="s">
        <v>1409</v>
      </c>
      <c r="B27" s="4756" t="s">
        <v>2583</v>
      </c>
      <c r="C27" s="4756"/>
      <c r="D27" s="4756"/>
      <c r="E27" s="4756"/>
      <c r="F27" s="4756"/>
      <c r="G27" s="4756"/>
      <c r="H27" s="4756"/>
      <c r="I27" s="4756"/>
      <c r="J27" s="4756"/>
      <c r="K27" s="4756"/>
      <c r="L27" s="4756"/>
      <c r="M27" s="4756"/>
    </row>
    <row r="28" spans="1:13" ht="7.5" customHeight="1">
      <c r="A28" s="4754"/>
      <c r="B28" s="4754"/>
      <c r="C28" s="4754"/>
      <c r="D28" s="4754"/>
      <c r="E28" s="4754"/>
      <c r="F28" s="4754"/>
      <c r="G28" s="4754"/>
      <c r="H28" s="4754"/>
      <c r="I28" s="4754"/>
      <c r="J28" s="4754"/>
      <c r="K28" s="4754"/>
      <c r="L28" s="4754"/>
      <c r="M28" s="4754"/>
    </row>
    <row r="29" spans="1:13" ht="43.5" customHeight="1">
      <c r="A29" s="4756" t="s">
        <v>911</v>
      </c>
      <c r="B29" s="4756"/>
      <c r="C29" s="4756"/>
      <c r="D29" s="4756"/>
      <c r="E29" s="4756"/>
      <c r="F29" s="4756"/>
      <c r="G29" s="4756"/>
      <c r="H29" s="4756"/>
      <c r="I29" s="4756"/>
      <c r="J29" s="4756"/>
      <c r="K29" s="4756"/>
      <c r="L29" s="4756"/>
      <c r="M29" s="4756"/>
    </row>
    <row r="30" spans="1:13" ht="3" customHeight="1">
      <c r="A30" s="4754"/>
      <c r="B30" s="4754"/>
      <c r="C30" s="4754"/>
      <c r="D30" s="4754"/>
      <c r="E30" s="4754"/>
      <c r="F30" s="4754"/>
      <c r="G30" s="4754"/>
      <c r="H30" s="4754"/>
      <c r="I30" s="4754"/>
      <c r="J30" s="4754"/>
      <c r="K30" s="4754"/>
      <c r="L30" s="4754"/>
      <c r="M30" s="4754"/>
    </row>
    <row r="31" spans="1:13" ht="32.25" customHeight="1">
      <c r="A31" s="4756" t="s">
        <v>2584</v>
      </c>
      <c r="B31" s="4756"/>
      <c r="C31" s="4756"/>
      <c r="D31" s="4756"/>
      <c r="E31" s="4756"/>
      <c r="F31" s="4756"/>
      <c r="G31" s="4756"/>
      <c r="H31" s="4756"/>
      <c r="I31" s="4756"/>
      <c r="J31" s="4756"/>
      <c r="K31" s="4756"/>
      <c r="L31" s="4756"/>
      <c r="M31" s="4756"/>
    </row>
    <row r="32" spans="1:13" ht="4.5" customHeight="1">
      <c r="A32" s="4754"/>
      <c r="B32" s="4754"/>
      <c r="C32" s="4754"/>
      <c r="D32" s="4754"/>
      <c r="E32" s="4754"/>
      <c r="F32" s="4754"/>
      <c r="G32" s="4754"/>
      <c r="H32" s="4754"/>
      <c r="I32" s="4754"/>
      <c r="J32" s="4754"/>
      <c r="K32" s="4754"/>
      <c r="L32" s="4754"/>
      <c r="M32" s="4754"/>
    </row>
    <row r="33" spans="1:13" ht="16.5">
      <c r="A33" s="4754" t="s">
        <v>888</v>
      </c>
      <c r="B33" s="4754"/>
      <c r="C33" s="4754"/>
      <c r="D33" s="4754"/>
      <c r="E33" s="4754"/>
      <c r="F33" s="4754"/>
      <c r="G33" s="4754"/>
      <c r="H33" s="4754"/>
      <c r="I33" s="4754"/>
      <c r="J33" s="4754"/>
      <c r="K33" s="4754"/>
      <c r="L33" s="4754"/>
      <c r="M33" s="4754"/>
    </row>
    <row r="34" spans="1:13" ht="6" customHeight="1">
      <c r="A34" s="3128"/>
      <c r="B34" s="3128"/>
      <c r="C34" s="3128"/>
      <c r="D34" s="3128"/>
      <c r="E34" s="3128"/>
      <c r="F34" s="3128"/>
      <c r="G34" s="3128"/>
      <c r="H34" s="3128"/>
      <c r="I34" s="3128"/>
      <c r="J34" s="3128"/>
      <c r="K34" s="3128"/>
      <c r="L34" s="3128"/>
      <c r="M34" s="3128"/>
    </row>
    <row r="35" spans="1:13" ht="16.5">
      <c r="A35" s="4757"/>
      <c r="B35" s="4757"/>
      <c r="C35" s="4757"/>
      <c r="D35" s="4757"/>
      <c r="E35" s="4757"/>
      <c r="F35" s="4757"/>
      <c r="G35" s="3129"/>
      <c r="H35" s="4757"/>
      <c r="I35" s="4757"/>
      <c r="J35" s="4757"/>
      <c r="K35" s="4757"/>
      <c r="L35" s="4757"/>
      <c r="M35" s="4757"/>
    </row>
    <row r="36" spans="1:13" ht="12" customHeight="1">
      <c r="A36" s="4758" t="s">
        <v>889</v>
      </c>
      <c r="B36" s="4758"/>
      <c r="C36" s="4758"/>
      <c r="D36" s="4758"/>
      <c r="E36" s="4758"/>
      <c r="F36" s="4758"/>
      <c r="G36" s="3129"/>
      <c r="H36" s="4758" t="s">
        <v>1890</v>
      </c>
      <c r="I36" s="4758"/>
      <c r="J36" s="4758"/>
      <c r="K36" s="4758"/>
      <c r="L36" s="4758"/>
      <c r="M36" s="4758"/>
    </row>
    <row r="37" spans="1:13" ht="6" customHeight="1">
      <c r="A37" s="3129"/>
      <c r="B37" s="3129"/>
      <c r="C37" s="3129"/>
      <c r="D37" s="3129"/>
      <c r="E37" s="3129"/>
      <c r="F37" s="3129"/>
      <c r="G37" s="3129"/>
      <c r="H37" s="3129"/>
      <c r="I37" s="3129"/>
      <c r="J37" s="3129"/>
      <c r="K37" s="3129"/>
      <c r="L37" s="3129"/>
      <c r="M37" s="3129"/>
    </row>
    <row r="38" spans="1:13" ht="16.5">
      <c r="A38" s="4757"/>
      <c r="B38" s="4757"/>
      <c r="C38" s="4757"/>
      <c r="D38" s="4757"/>
      <c r="E38" s="4757"/>
      <c r="F38" s="4757"/>
      <c r="G38" s="3129"/>
      <c r="H38" s="4759"/>
      <c r="I38" s="4759"/>
      <c r="J38" s="4759"/>
      <c r="K38" s="4759"/>
      <c r="L38" s="4759"/>
      <c r="M38" s="4759"/>
    </row>
    <row r="39" spans="1:13" ht="12" customHeight="1">
      <c r="A39" s="4758" t="s">
        <v>890</v>
      </c>
      <c r="B39" s="4758"/>
      <c r="C39" s="4758"/>
      <c r="D39" s="4758"/>
      <c r="E39" s="4758"/>
      <c r="F39" s="4758"/>
      <c r="G39" s="3129"/>
      <c r="H39" s="4758" t="s">
        <v>891</v>
      </c>
      <c r="I39" s="4758"/>
      <c r="J39" s="4758"/>
      <c r="K39" s="4758"/>
      <c r="L39" s="4758"/>
      <c r="M39" s="4758"/>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0" t="s">
        <v>892</v>
      </c>
      <c r="I41" s="4760"/>
      <c r="J41" s="4760"/>
      <c r="K41" s="4760"/>
      <c r="L41" s="4760"/>
      <c r="M41" s="4760"/>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lIMaJ/CfYX6GuNeTWL/AIJL2qt5zPrvORX/Ksjc5h0ePDN88+5PD4PcmfvZTByyRlUzA3FNDUz9yNmTaHfwmuQ==" saltValue="oDtjk76O6vBeg3Nut/xVC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5" t="s">
        <v>691</v>
      </c>
      <c r="B2" s="4766"/>
      <c r="C2" s="4766"/>
      <c r="D2" s="4766"/>
      <c r="E2" s="4766"/>
      <c r="F2" s="4766"/>
      <c r="G2" s="4766"/>
      <c r="H2" s="4766"/>
      <c r="I2" s="4766"/>
      <c r="J2" s="4766"/>
      <c r="K2" s="4766"/>
      <c r="L2" s="4766"/>
      <c r="M2" s="4766"/>
      <c r="N2" s="4766"/>
      <c r="O2" s="4766"/>
      <c r="P2" s="4766"/>
      <c r="Q2" s="4766"/>
      <c r="R2" s="4767"/>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3263</v>
      </c>
      <c r="K12" s="277"/>
      <c r="M12" s="277"/>
      <c r="N12" s="277"/>
      <c r="O12" s="168"/>
      <c r="Q12" s="4761">
        <v>0.1</v>
      </c>
      <c r="R12" s="4762"/>
      <c r="S12" s="287"/>
      <c r="T12" s="166"/>
      <c r="U12" s="166"/>
      <c r="V12" s="863"/>
      <c r="W12" s="863"/>
      <c r="X12" s="863"/>
      <c r="AA12" s="481"/>
      <c r="AB12" s="481"/>
    </row>
    <row r="13" spans="1:28" s="267" customFormat="1" ht="12.75" customHeight="1">
      <c r="A13" s="168"/>
      <c r="B13" s="168"/>
      <c r="C13" s="168"/>
      <c r="F13" s="1368" t="s">
        <v>2561</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8" t="s">
        <v>3119</v>
      </c>
      <c r="G20" s="4769"/>
      <c r="H20" s="4769"/>
      <c r="I20" s="4769"/>
      <c r="J20" s="4770"/>
      <c r="K20" s="277"/>
      <c r="L20" s="516" t="s">
        <v>3263</v>
      </c>
      <c r="M20" s="277"/>
      <c r="N20" s="4768" t="s">
        <v>3119</v>
      </c>
      <c r="O20" s="4769"/>
      <c r="P20" s="4769"/>
      <c r="Q20" s="4769"/>
      <c r="R20" s="4770"/>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71">
        <v>1000</v>
      </c>
      <c r="R82" s="4772"/>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1">
        <v>500</v>
      </c>
      <c r="R83" s="4772"/>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1">
        <v>1500</v>
      </c>
      <c r="R84" s="4772"/>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1">
        <v>1500</v>
      </c>
      <c r="R85" s="4772"/>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1">
        <v>1500</v>
      </c>
      <c r="R86" s="4772"/>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1">
        <v>1500</v>
      </c>
      <c r="R87" s="4772"/>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1">
        <v>6500</v>
      </c>
      <c r="R88" s="4772"/>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1">
        <v>5500</v>
      </c>
      <c r="R89" s="4772"/>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1">
        <v>5500</v>
      </c>
      <c r="R90" s="4772"/>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1">
        <v>500</v>
      </c>
      <c r="R91" s="4772"/>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1">
        <v>1500</v>
      </c>
      <c r="R92" s="4772"/>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4">
        <v>0.08</v>
      </c>
      <c r="R93" s="4764"/>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64">
        <v>0.08</v>
      </c>
      <c r="R94" s="4764"/>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1"/>
      <c r="R95" s="4772"/>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1">
        <v>1500</v>
      </c>
      <c r="R96" s="4772"/>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1">
        <v>800</v>
      </c>
      <c r="R97" s="4772"/>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1">
        <v>1000</v>
      </c>
      <c r="R98" s="4772"/>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1" t="s">
        <v>2972</v>
      </c>
      <c r="R99" s="4772"/>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1">
        <v>1500</v>
      </c>
      <c r="R100" s="4772"/>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7">
        <v>750</v>
      </c>
      <c r="R101" s="4788"/>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1">
        <v>3000</v>
      </c>
      <c r="R102" s="4772"/>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1">
        <v>75</v>
      </c>
      <c r="R103" s="4772"/>
      <c r="S103" s="279"/>
      <c r="T103" s="279"/>
      <c r="U103" s="279"/>
      <c r="AA103" s="481"/>
      <c r="AB103" s="481"/>
    </row>
    <row r="104" spans="1:28" customFormat="1" ht="11.25" customHeight="1">
      <c r="B104" s="168" t="s">
        <v>1776</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785">
        <v>25000</v>
      </c>
      <c r="R105" s="4785"/>
    </row>
    <row r="106" spans="1:28" customFormat="1" ht="11.25" customHeight="1">
      <c r="B106" s="27"/>
      <c r="C106" s="27"/>
      <c r="F106" s="157"/>
      <c r="G106" s="27"/>
      <c r="H106" s="1381"/>
      <c r="I106" s="27"/>
      <c r="J106" s="1387">
        <v>51</v>
      </c>
      <c r="K106" s="1389">
        <v>70</v>
      </c>
      <c r="Q106" s="4784">
        <v>20000</v>
      </c>
      <c r="R106" s="4784"/>
    </row>
    <row r="107" spans="1:28" customFormat="1" ht="11.25" customHeight="1">
      <c r="B107" s="27"/>
      <c r="C107" s="27"/>
      <c r="F107" s="157"/>
      <c r="G107" s="27"/>
      <c r="H107" s="1590"/>
      <c r="I107" s="197"/>
      <c r="J107" s="1591">
        <v>71</v>
      </c>
      <c r="K107" s="1592"/>
      <c r="L107" s="1593"/>
      <c r="M107" s="1593"/>
      <c r="N107" s="1593"/>
      <c r="O107" s="1593"/>
      <c r="P107" s="1594"/>
      <c r="Q107" s="4777">
        <v>15000</v>
      </c>
      <c r="R107" s="4777"/>
    </row>
    <row r="108" spans="1:28" customFormat="1" ht="11.25" customHeight="1">
      <c r="B108" s="27"/>
      <c r="C108" s="27"/>
      <c r="F108" s="27"/>
      <c r="G108" s="27"/>
      <c r="H108" s="1595">
        <v>0.04</v>
      </c>
      <c r="I108" s="1596"/>
      <c r="J108" s="1597">
        <v>1</v>
      </c>
      <c r="K108" s="1597">
        <v>100</v>
      </c>
      <c r="L108" s="1598"/>
      <c r="M108" s="1598"/>
      <c r="N108" s="1598"/>
      <c r="O108" s="1598"/>
      <c r="P108" s="1599"/>
      <c r="Q108" s="4785">
        <v>20500</v>
      </c>
      <c r="R108" s="4785"/>
    </row>
    <row r="109" spans="1:28" customFormat="1" ht="11.25" customHeight="1">
      <c r="B109" s="27"/>
      <c r="C109" s="27"/>
      <c r="F109" s="27"/>
      <c r="G109" s="27"/>
      <c r="H109" s="1382"/>
      <c r="I109" s="27"/>
      <c r="J109" s="1387">
        <v>101</v>
      </c>
      <c r="K109" s="1389">
        <v>130</v>
      </c>
      <c r="Q109" s="4784">
        <v>18500</v>
      </c>
      <c r="R109" s="4784"/>
    </row>
    <row r="110" spans="1:28" customFormat="1" ht="11.25" customHeight="1">
      <c r="B110" s="27"/>
      <c r="C110" s="27"/>
      <c r="F110" s="27"/>
      <c r="G110" s="27"/>
      <c r="H110" s="1382"/>
      <c r="I110" s="27"/>
      <c r="J110" s="1387">
        <v>131</v>
      </c>
      <c r="K110" s="1388"/>
      <c r="Q110" s="4777">
        <v>14000</v>
      </c>
      <c r="R110" s="4777"/>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786">
        <v>2000000</v>
      </c>
      <c r="R112" s="4786"/>
    </row>
    <row r="113" spans="1:28" customFormat="1" ht="11.25" customHeight="1">
      <c r="B113" s="27"/>
      <c r="C113" s="27"/>
      <c r="F113" s="27"/>
      <c r="G113" s="27"/>
      <c r="H113" s="1384">
        <v>0.04</v>
      </c>
      <c r="I113" s="1376"/>
      <c r="J113" s="27"/>
      <c r="Q113" s="4786">
        <v>3500000</v>
      </c>
      <c r="R113" s="4786"/>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5">
        <v>3500000</v>
      </c>
      <c r="R115" s="4776"/>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3">
        <v>0.15</v>
      </c>
      <c r="R116" s="4774"/>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3">
        <v>0.15</v>
      </c>
      <c r="R117" s="4774"/>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3">
        <v>0.15</v>
      </c>
      <c r="R118" s="4774"/>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3">
        <v>0.15</v>
      </c>
      <c r="R119" s="4774"/>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3">
        <v>0.15</v>
      </c>
      <c r="R120" s="4774"/>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3">
        <v>0.15</v>
      </c>
      <c r="R121" s="4774"/>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3" t="s">
        <v>2268</v>
      </c>
      <c r="R122" s="4774"/>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1">
        <v>3000</v>
      </c>
      <c r="R128" s="4772"/>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0">
        <v>0.02</v>
      </c>
      <c r="R136" s="4780"/>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8">
        <v>7.0000000000000007E-2</v>
      </c>
      <c r="R137" s="4778"/>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8">
        <v>7.0000000000000007E-2</v>
      </c>
      <c r="R138" s="4778"/>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8">
        <v>0.03</v>
      </c>
      <c r="R139" s="4778"/>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8">
        <v>0.03</v>
      </c>
      <c r="R140" s="4778"/>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9">
        <v>0</v>
      </c>
      <c r="R141" s="4779"/>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80">
        <v>0.1</v>
      </c>
      <c r="R143" s="4780"/>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81">
        <v>1000000</v>
      </c>
      <c r="R144" s="4781"/>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81">
        <v>1000000</v>
      </c>
      <c r="R145" s="4781"/>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81">
        <v>900000</v>
      </c>
      <c r="R146" s="4781"/>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81"/>
      <c r="R147" s="4781"/>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3">
        <v>4000000</v>
      </c>
      <c r="R148" s="4783"/>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6" t="s">
        <v>6320</v>
      </c>
      <c r="R150" s="4796"/>
    </row>
    <row r="151" spans="1:28" ht="11.25" customHeight="1">
      <c r="F151" s="168" t="s">
        <v>2479</v>
      </c>
      <c r="G151" s="168"/>
      <c r="H151" s="168" t="s">
        <v>6319</v>
      </c>
      <c r="I151" s="166"/>
      <c r="J151" s="4780">
        <v>0.35</v>
      </c>
      <c r="K151" s="4780"/>
      <c r="L151" s="168"/>
      <c r="M151" s="168"/>
      <c r="N151" s="168"/>
      <c r="O151" s="168"/>
      <c r="P151" s="166"/>
      <c r="Q151" s="4782">
        <v>900000</v>
      </c>
      <c r="R151" s="4782"/>
    </row>
    <row r="152" spans="1:28" ht="11.25" customHeight="1">
      <c r="A152" s="272"/>
      <c r="F152" s="168" t="s">
        <v>6318</v>
      </c>
      <c r="G152" s="168"/>
      <c r="H152" s="168" t="s">
        <v>6319</v>
      </c>
      <c r="I152" s="166"/>
      <c r="J152" s="4778">
        <v>0.35</v>
      </c>
      <c r="K152" s="4778"/>
      <c r="L152" s="168"/>
      <c r="M152" s="168"/>
      <c r="N152" s="168"/>
      <c r="O152" s="168"/>
      <c r="P152" s="166"/>
      <c r="Q152" s="4781">
        <v>1000000</v>
      </c>
      <c r="R152" s="4781"/>
    </row>
    <row r="153" spans="1:28" s="267" customFormat="1" ht="11.25" customHeight="1">
      <c r="A153" s="272"/>
      <c r="B153" s="168"/>
      <c r="C153" s="168"/>
      <c r="D153" s="166"/>
      <c r="E153" s="166"/>
      <c r="F153" s="168" t="s">
        <v>3141</v>
      </c>
      <c r="G153" s="168"/>
      <c r="H153" s="168" t="s">
        <v>6319</v>
      </c>
      <c r="I153" s="166"/>
      <c r="J153" s="4779">
        <v>0.3</v>
      </c>
      <c r="K153" s="4779"/>
      <c r="L153" s="168"/>
      <c r="M153" s="168"/>
      <c r="N153" s="168"/>
      <c r="O153" s="168"/>
      <c r="P153" s="166"/>
      <c r="Q153" s="4783">
        <v>1000000</v>
      </c>
      <c r="R153" s="4783"/>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80">
        <v>0.05</v>
      </c>
      <c r="R155" s="4780"/>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78">
        <v>0.4</v>
      </c>
      <c r="R156" s="4778"/>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79">
        <v>0.02</v>
      </c>
      <c r="R157" s="4779"/>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3" t="s">
        <v>3554</v>
      </c>
      <c r="E170" s="279"/>
      <c r="F170" s="279"/>
    </row>
    <row r="171" spans="2:37" ht="10.5" customHeight="1">
      <c r="C171" s="4763"/>
      <c r="E171" s="279"/>
      <c r="F171" s="279"/>
    </row>
    <row r="172" spans="2:37" ht="10.5" customHeight="1">
      <c r="C172" s="4763"/>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9">
        <v>2019</v>
      </c>
      <c r="D335" s="4790"/>
      <c r="E335" s="4790"/>
      <c r="F335" s="4790"/>
      <c r="G335" s="4789">
        <v>2020</v>
      </c>
      <c r="H335" s="4789"/>
      <c r="I335" s="4789"/>
      <c r="J335" s="4789"/>
      <c r="K335"/>
      <c r="L335" s="4791" t="s">
        <v>4262</v>
      </c>
      <c r="M335" s="4792"/>
      <c r="N335" s="4792"/>
      <c r="O335" s="4793"/>
      <c r="P335" s="504" t="s">
        <v>762</v>
      </c>
      <c r="Q335" s="287"/>
      <c r="R335" s="168"/>
      <c r="S335" s="380"/>
      <c r="T335" s="505" t="s">
        <v>659</v>
      </c>
      <c r="U335" s="505" t="s">
        <v>2082</v>
      </c>
      <c r="W335" s="418" t="s">
        <v>1395</v>
      </c>
      <c r="X335" s="418" t="s">
        <v>3138</v>
      </c>
      <c r="AA335" s="27"/>
      <c r="AB335" s="27"/>
      <c r="AC335" s="809"/>
      <c r="AD335" s="481"/>
    </row>
    <row r="336" spans="3:30" ht="10.5" customHeight="1">
      <c r="C336" s="4794" t="s">
        <v>4162</v>
      </c>
      <c r="D336" s="4795" t="s">
        <v>4163</v>
      </c>
      <c r="E336" s="4795" t="s">
        <v>4164</v>
      </c>
      <c r="F336" s="4795" t="s">
        <v>4165</v>
      </c>
      <c r="G336" s="4794" t="s">
        <v>4162</v>
      </c>
      <c r="H336" s="4795" t="s">
        <v>4163</v>
      </c>
      <c r="I336" s="4795" t="s">
        <v>4164</v>
      </c>
      <c r="J336" s="4795" t="s">
        <v>4165</v>
      </c>
      <c r="K336"/>
      <c r="L336" s="4794" t="s">
        <v>4162</v>
      </c>
      <c r="M336" s="4795" t="s">
        <v>4163</v>
      </c>
      <c r="N336" s="4795" t="s">
        <v>4164</v>
      </c>
      <c r="O336" s="4795"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94"/>
      <c r="D337" s="4795"/>
      <c r="E337" s="4795"/>
      <c r="F337" s="4795"/>
      <c r="G337" s="4794"/>
      <c r="H337" s="4795"/>
      <c r="I337" s="4795"/>
      <c r="J337" s="4795"/>
      <c r="K337"/>
      <c r="L337" s="4794"/>
      <c r="M337" s="4795"/>
      <c r="N337" s="4795"/>
      <c r="O337" s="4795"/>
      <c r="P337" s="504" t="s">
        <v>2312</v>
      </c>
      <c r="Q337" s="287"/>
      <c r="R337" s="168"/>
      <c r="S337" s="380"/>
      <c r="T337" s="473" t="s">
        <v>188</v>
      </c>
      <c r="U337" s="473" t="s">
        <v>598</v>
      </c>
      <c r="W337" s="418" t="s">
        <v>2026</v>
      </c>
      <c r="X337" s="418" t="s">
        <v>3138</v>
      </c>
      <c r="AA337" s="27"/>
      <c r="AB337" s="27"/>
      <c r="AC337" s="809"/>
      <c r="AD337" s="481"/>
    </row>
    <row r="338" spans="3:30" ht="10.5" customHeight="1">
      <c r="C338" s="4794"/>
      <c r="D338" s="4795"/>
      <c r="E338" s="4795"/>
      <c r="F338" s="4795"/>
      <c r="G338" s="4794"/>
      <c r="H338" s="4795"/>
      <c r="I338" s="4795"/>
      <c r="J338" s="4795"/>
      <c r="K338"/>
      <c r="L338" s="4794"/>
      <c r="M338" s="4795"/>
      <c r="N338" s="4795"/>
      <c r="O338" s="4795"/>
      <c r="P338" s="504" t="s">
        <v>2314</v>
      </c>
      <c r="Q338" s="287"/>
      <c r="R338" s="168"/>
      <c r="S338" s="380"/>
      <c r="T338" s="473" t="s">
        <v>2449</v>
      </c>
      <c r="U338" s="473" t="s">
        <v>1919</v>
      </c>
      <c r="W338" s="418" t="s">
        <v>2028</v>
      </c>
      <c r="X338" s="418" t="s">
        <v>3138</v>
      </c>
      <c r="AA338" s="27"/>
      <c r="AB338" s="27"/>
      <c r="AC338" s="809"/>
      <c r="AD338" s="481"/>
    </row>
    <row r="339" spans="3:30" ht="10.5" customHeight="1">
      <c r="C339" s="4794"/>
      <c r="D339" s="4795"/>
      <c r="E339" s="4795"/>
      <c r="F339" s="4795"/>
      <c r="G339" s="4794"/>
      <c r="H339" s="4795"/>
      <c r="I339" s="4795"/>
      <c r="J339" s="4795"/>
      <c r="K339"/>
      <c r="L339" s="4794"/>
      <c r="M339" s="4795"/>
      <c r="N339" s="4795"/>
      <c r="O339" s="4795"/>
      <c r="P339" s="504" t="s">
        <v>2316</v>
      </c>
      <c r="Q339" s="287"/>
      <c r="R339" s="168"/>
      <c r="S339" s="380"/>
      <c r="T339" s="473" t="s">
        <v>759</v>
      </c>
      <c r="U339" s="473" t="s">
        <v>99</v>
      </c>
      <c r="W339" s="418" t="s">
        <v>1386</v>
      </c>
      <c r="X339" s="418" t="s">
        <v>3138</v>
      </c>
      <c r="AA339" s="27"/>
      <c r="AB339" s="27"/>
      <c r="AC339" s="809"/>
      <c r="AD339" s="481"/>
    </row>
    <row r="340" spans="3:30" ht="10.5" customHeight="1">
      <c r="C340" s="4794"/>
      <c r="D340" s="4795"/>
      <c r="E340" s="4795"/>
      <c r="F340" s="4795"/>
      <c r="G340" s="4794"/>
      <c r="H340" s="4795"/>
      <c r="I340" s="4795"/>
      <c r="J340" s="4795"/>
      <c r="K340"/>
      <c r="L340" s="4794"/>
      <c r="M340" s="4795"/>
      <c r="N340" s="4795"/>
      <c r="O340" s="4795"/>
      <c r="P340" s="504" t="s">
        <v>2317</v>
      </c>
      <c r="Q340" s="287"/>
      <c r="R340" s="168"/>
      <c r="S340" s="380"/>
      <c r="T340" s="473" t="s">
        <v>761</v>
      </c>
      <c r="U340" s="473" t="s">
        <v>115</v>
      </c>
      <c r="W340" s="418" t="s">
        <v>1492</v>
      </c>
      <c r="X340" s="418" t="s">
        <v>3138</v>
      </c>
      <c r="AA340" s="27"/>
      <c r="AB340" s="27"/>
      <c r="AC340" s="809"/>
      <c r="AD340" s="481"/>
    </row>
    <row r="341" spans="3:30" ht="10.5" customHeight="1">
      <c r="C341" s="4794"/>
      <c r="D341" s="4795"/>
      <c r="E341" s="4795"/>
      <c r="F341" s="4795"/>
      <c r="G341" s="4794"/>
      <c r="H341" s="4795"/>
      <c r="I341" s="4795"/>
      <c r="J341" s="4795"/>
      <c r="K341"/>
      <c r="L341" s="4794"/>
      <c r="M341" s="4795"/>
      <c r="N341" s="4795"/>
      <c r="O341" s="4795"/>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heetProtection algorithmName="SHA-512" hashValue="wROVL9TK1Es8um2j/WM2Z/1uJcl+D4A8cZLkIekuRQVC4A9ZdDN4NtDuDyOuwCXy3KVBMwImhiLdzhwl0FRjMQ==" saltValue="koxHRnG78FpjxgqhwyUJHQ=="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2021-050 Sparrow Pointe, Rome, Floyd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6875</v>
      </c>
      <c r="I6" s="3385"/>
      <c r="J6" s="3385"/>
      <c r="K6" s="3385"/>
      <c r="L6" s="3385"/>
      <c r="M6" s="3385"/>
      <c r="N6" s="3386"/>
      <c r="O6" s="2620" t="s">
        <v>1899</v>
      </c>
      <c r="P6" s="2620"/>
      <c r="Q6" s="3384" t="s">
        <v>6855</v>
      </c>
      <c r="R6" s="3385"/>
      <c r="S6" s="3386"/>
      <c r="Y6" s="922"/>
      <c r="Z6" s="1773">
        <v>6</v>
      </c>
      <c r="AA6" s="2627"/>
    </row>
    <row r="7" spans="1:27" s="289" customFormat="1" ht="11.25" customHeight="1">
      <c r="D7" s="326"/>
      <c r="E7" s="2618" t="s">
        <v>982</v>
      </c>
      <c r="F7" s="301"/>
      <c r="H7" s="3147" t="s">
        <v>6876</v>
      </c>
      <c r="I7" s="3388"/>
      <c r="J7" s="3388"/>
      <c r="K7" s="3389"/>
      <c r="L7" s="3388"/>
      <c r="M7" s="3388"/>
      <c r="N7" s="3390"/>
      <c r="O7" s="2620" t="s">
        <v>1668</v>
      </c>
      <c r="Q7" s="3169" t="s">
        <v>6878</v>
      </c>
      <c r="R7" s="3249"/>
      <c r="S7" s="3250"/>
      <c r="V7" s="922"/>
      <c r="W7" s="922"/>
      <c r="X7" s="922"/>
      <c r="Y7" s="922"/>
      <c r="Z7" s="1773">
        <v>7</v>
      </c>
      <c r="AA7" s="2627"/>
    </row>
    <row r="8" spans="1:27" s="289" customFormat="1" ht="11.25" customHeight="1">
      <c r="D8" s="326"/>
      <c r="E8" s="2618" t="s">
        <v>588</v>
      </c>
      <c r="H8" s="3147" t="s">
        <v>6856</v>
      </c>
      <c r="I8" s="3389"/>
      <c r="J8" s="3262"/>
      <c r="K8" s="2752" t="s">
        <v>732</v>
      </c>
      <c r="L8" s="3172"/>
      <c r="M8" s="3388"/>
      <c r="N8" s="3390"/>
      <c r="O8" s="2620" t="s">
        <v>1644</v>
      </c>
      <c r="Q8" s="3360">
        <v>9046196215</v>
      </c>
      <c r="R8" s="3361"/>
      <c r="S8" s="3362"/>
      <c r="Z8" s="1773">
        <v>8</v>
      </c>
    </row>
    <row r="9" spans="1:27" s="289" customFormat="1" ht="11.25" customHeight="1">
      <c r="D9" s="326"/>
      <c r="E9" s="2618" t="s">
        <v>1717</v>
      </c>
      <c r="H9" s="2694" t="s">
        <v>814</v>
      </c>
      <c r="I9" s="916" t="s">
        <v>2128</v>
      </c>
      <c r="J9" s="3378">
        <v>347443710</v>
      </c>
      <c r="K9" s="3379"/>
      <c r="L9" s="289" t="s">
        <v>3323</v>
      </c>
      <c r="M9" s="3380" t="s">
        <v>6877</v>
      </c>
      <c r="N9" s="3381"/>
      <c r="O9" s="2620" t="s">
        <v>1889</v>
      </c>
      <c r="Q9" s="3360"/>
      <c r="R9" s="3361"/>
      <c r="S9" s="3362"/>
      <c r="Z9" s="1773">
        <v>9</v>
      </c>
    </row>
    <row r="10" spans="1:27" s="289" customFormat="1" ht="11.25" customHeight="1">
      <c r="D10" s="326"/>
      <c r="E10" s="2618" t="s">
        <v>3614</v>
      </c>
      <c r="H10" s="3382">
        <v>9046196215</v>
      </c>
      <c r="I10" s="3383"/>
      <c r="J10" s="2753"/>
      <c r="K10" s="2629" t="s">
        <v>1894</v>
      </c>
      <c r="L10" s="3178" t="s">
        <v>6857</v>
      </c>
      <c r="M10" s="3259"/>
      <c r="N10" s="3259"/>
      <c r="O10" s="3179"/>
      <c r="P10" s="3179"/>
      <c r="Q10" s="3259"/>
      <c r="R10" s="3259"/>
      <c r="S10" s="3260"/>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4" t="s">
        <v>6879</v>
      </c>
      <c r="I15" s="3385"/>
      <c r="J15" s="3385"/>
      <c r="K15" s="3385"/>
      <c r="L15" s="3385"/>
      <c r="M15" s="3385"/>
      <c r="N15" s="3386"/>
      <c r="O15" s="2620" t="s">
        <v>1899</v>
      </c>
      <c r="P15" s="2620"/>
      <c r="Q15" s="3384" t="s">
        <v>6855</v>
      </c>
      <c r="R15" s="3385"/>
      <c r="S15" s="3386"/>
      <c r="Z15" s="1773">
        <v>15</v>
      </c>
    </row>
    <row r="16" spans="1:27" s="289" customFormat="1" ht="11.25" customHeight="1">
      <c r="D16" s="326"/>
      <c r="E16" s="2618" t="s">
        <v>982</v>
      </c>
      <c r="F16" s="301"/>
      <c r="H16" s="3147" t="s">
        <v>6876</v>
      </c>
      <c r="I16" s="3388"/>
      <c r="J16" s="3388"/>
      <c r="K16" s="3389"/>
      <c r="L16" s="3388"/>
      <c r="M16" s="3388"/>
      <c r="N16" s="3390"/>
      <c r="O16" s="2620" t="s">
        <v>1668</v>
      </c>
      <c r="Q16" s="3169" t="s">
        <v>2362</v>
      </c>
      <c r="R16" s="3249"/>
      <c r="S16" s="3250"/>
      <c r="Z16" s="1773">
        <v>16</v>
      </c>
    </row>
    <row r="17" spans="4:26" s="289" customFormat="1" ht="11.25" customHeight="1">
      <c r="D17" s="326"/>
      <c r="E17" s="2618" t="s">
        <v>588</v>
      </c>
      <c r="H17" s="3147" t="s">
        <v>6856</v>
      </c>
      <c r="I17" s="3389"/>
      <c r="J17" s="3262"/>
      <c r="K17" s="2635" t="s">
        <v>2553</v>
      </c>
      <c r="L17" s="3147" t="s">
        <v>6881</v>
      </c>
      <c r="M17" s="3388"/>
      <c r="N17" s="3262"/>
      <c r="O17" s="2620" t="s">
        <v>1644</v>
      </c>
      <c r="Q17" s="3360">
        <v>9046196215</v>
      </c>
      <c r="R17" s="3361"/>
      <c r="S17" s="3362"/>
      <c r="Z17" s="1773">
        <v>17</v>
      </c>
    </row>
    <row r="18" spans="4:26" s="289" customFormat="1" ht="11.25" customHeight="1">
      <c r="D18" s="291"/>
      <c r="E18" s="2618" t="s">
        <v>1717</v>
      </c>
      <c r="H18" s="2694" t="s">
        <v>814</v>
      </c>
      <c r="K18" s="916" t="s">
        <v>2128</v>
      </c>
      <c r="L18" s="3157">
        <v>347443710</v>
      </c>
      <c r="M18" s="3391"/>
      <c r="O18" s="2620" t="s">
        <v>1889</v>
      </c>
      <c r="Q18" s="3360"/>
      <c r="R18" s="3361"/>
      <c r="S18" s="3362"/>
      <c r="Z18" s="1773">
        <v>18</v>
      </c>
    </row>
    <row r="19" spans="4:26" s="289" customFormat="1" ht="11.25" customHeight="1">
      <c r="D19" s="326"/>
      <c r="E19" s="2618" t="s">
        <v>3614</v>
      </c>
      <c r="H19" s="3382">
        <v>9046196215</v>
      </c>
      <c r="I19" s="3387"/>
      <c r="J19" s="2756"/>
      <c r="K19" s="2629" t="s">
        <v>1894</v>
      </c>
      <c r="L19" s="3367" t="s">
        <v>6857</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4"/>
      <c r="I21" s="3385"/>
      <c r="J21" s="3385"/>
      <c r="K21" s="3385"/>
      <c r="L21" s="3385"/>
      <c r="M21" s="3385"/>
      <c r="N21" s="3386"/>
      <c r="O21" s="2620" t="s">
        <v>1899</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2553</v>
      </c>
      <c r="L23" s="3147"/>
      <c r="M23" s="3388"/>
      <c r="N23" s="3262"/>
      <c r="O23" s="2620" t="s">
        <v>1644</v>
      </c>
      <c r="Q23" s="3360"/>
      <c r="R23" s="3361"/>
      <c r="S23" s="3362"/>
      <c r="Z23" s="1773">
        <v>23</v>
      </c>
    </row>
    <row r="24" spans="4:26" s="289" customFormat="1" ht="11.25" customHeight="1">
      <c r="E24" s="2618" t="s">
        <v>1717</v>
      </c>
      <c r="H24" s="2694"/>
      <c r="K24" s="916" t="s">
        <v>2128</v>
      </c>
      <c r="L24" s="3157"/>
      <c r="M24" s="3391"/>
      <c r="O24" s="2620" t="s">
        <v>1889</v>
      </c>
      <c r="Q24" s="3360"/>
      <c r="R24" s="3361"/>
      <c r="S24" s="3362"/>
      <c r="Z24" s="1773">
        <v>24</v>
      </c>
    </row>
    <row r="25" spans="4:26" s="289" customFormat="1" ht="11.25" customHeight="1">
      <c r="D25" s="326"/>
      <c r="E25" s="2618" t="s">
        <v>3614</v>
      </c>
      <c r="H25" s="3382"/>
      <c r="I25" s="3387"/>
      <c r="J25" s="2756"/>
      <c r="K25" s="2629" t="s">
        <v>1894</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4"/>
      <c r="I27" s="3385"/>
      <c r="J27" s="3385"/>
      <c r="K27" s="3385"/>
      <c r="L27" s="3385"/>
      <c r="M27" s="3385"/>
      <c r="N27" s="3386"/>
      <c r="O27" s="2620" t="s">
        <v>1899</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2553</v>
      </c>
      <c r="L29" s="3147"/>
      <c r="M29" s="3388"/>
      <c r="N29" s="3262"/>
      <c r="O29" s="2620" t="s">
        <v>1644</v>
      </c>
      <c r="Q29" s="3360"/>
      <c r="R29" s="3361"/>
      <c r="S29" s="3362"/>
      <c r="Z29" s="1773">
        <v>29</v>
      </c>
    </row>
    <row r="30" spans="4:26" s="289" customFormat="1" ht="11.25" customHeight="1">
      <c r="E30" s="2618" t="s">
        <v>1717</v>
      </c>
      <c r="H30" s="2694"/>
      <c r="K30" s="916" t="s">
        <v>2128</v>
      </c>
      <c r="L30" s="3157"/>
      <c r="M30" s="3391"/>
      <c r="O30" s="2620" t="s">
        <v>1889</v>
      </c>
      <c r="Q30" s="3360"/>
      <c r="R30" s="3361"/>
      <c r="S30" s="3362"/>
      <c r="Z30" s="1773">
        <v>30</v>
      </c>
    </row>
    <row r="31" spans="4:26" s="289" customFormat="1" ht="11.25" customHeight="1">
      <c r="D31" s="326"/>
      <c r="E31" s="2618" t="s">
        <v>3614</v>
      </c>
      <c r="H31" s="3382"/>
      <c r="I31" s="3387"/>
      <c r="J31" s="2756"/>
      <c r="K31" s="2629" t="s">
        <v>1894</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1898</v>
      </c>
      <c r="D33" s="325" t="s">
        <v>1773</v>
      </c>
      <c r="H33" s="2627"/>
      <c r="I33" s="2627"/>
      <c r="J33" s="2627"/>
      <c r="K33" s="1053" t="s">
        <v>3613</v>
      </c>
      <c r="L33" s="2627"/>
      <c r="M33" s="2627"/>
      <c r="Z33" s="1773">
        <v>33</v>
      </c>
    </row>
    <row r="34" spans="3:26" s="289" customFormat="1" ht="11.25" customHeight="1">
      <c r="D34" s="291" t="s">
        <v>2022</v>
      </c>
      <c r="E34" s="289" t="s">
        <v>720</v>
      </c>
      <c r="H34" s="3384" t="s">
        <v>6882</v>
      </c>
      <c r="I34" s="3385"/>
      <c r="J34" s="3385"/>
      <c r="K34" s="3385"/>
      <c r="L34" s="3385"/>
      <c r="M34" s="3385"/>
      <c r="N34" s="3386"/>
      <c r="O34" s="2620" t="s">
        <v>1899</v>
      </c>
      <c r="P34" s="2620"/>
      <c r="Q34" s="3384" t="s">
        <v>6886</v>
      </c>
      <c r="R34" s="3385"/>
      <c r="S34" s="3386"/>
      <c r="Z34" s="1773">
        <v>34</v>
      </c>
    </row>
    <row r="35" spans="3:26" s="289" customFormat="1" ht="11.25" customHeight="1">
      <c r="D35" s="326"/>
      <c r="E35" s="2618" t="s">
        <v>982</v>
      </c>
      <c r="F35" s="301"/>
      <c r="H35" s="3147" t="s">
        <v>6883</v>
      </c>
      <c r="I35" s="3388"/>
      <c r="J35" s="3388"/>
      <c r="K35" s="3389"/>
      <c r="L35" s="3388"/>
      <c r="M35" s="3388"/>
      <c r="N35" s="3390"/>
      <c r="O35" s="2620" t="s">
        <v>1668</v>
      </c>
      <c r="Q35" s="3169" t="s">
        <v>6887</v>
      </c>
      <c r="R35" s="3249"/>
      <c r="S35" s="3250"/>
      <c r="Z35" s="1773">
        <v>35</v>
      </c>
    </row>
    <row r="36" spans="3:26" s="289" customFormat="1" ht="11.25" customHeight="1">
      <c r="D36" s="326"/>
      <c r="E36" s="2618" t="s">
        <v>588</v>
      </c>
      <c r="H36" s="3147" t="s">
        <v>2410</v>
      </c>
      <c r="I36" s="3389"/>
      <c r="J36" s="3262"/>
      <c r="K36" s="2635" t="s">
        <v>2553</v>
      </c>
      <c r="L36" s="3147" t="s">
        <v>6884</v>
      </c>
      <c r="M36" s="3388"/>
      <c r="N36" s="3262"/>
      <c r="O36" s="2620" t="s">
        <v>1644</v>
      </c>
      <c r="Q36" s="3360">
        <v>5734432021</v>
      </c>
      <c r="R36" s="3361"/>
      <c r="S36" s="3362"/>
      <c r="Z36" s="1773">
        <v>36</v>
      </c>
    </row>
    <row r="37" spans="3:26" s="289" customFormat="1" ht="11.25" customHeight="1">
      <c r="E37" s="2618" t="s">
        <v>1717</v>
      </c>
      <c r="H37" s="2694" t="s">
        <v>1292</v>
      </c>
      <c r="K37" s="916" t="s">
        <v>2128</v>
      </c>
      <c r="L37" s="3157">
        <v>652034905</v>
      </c>
      <c r="M37" s="3391"/>
      <c r="O37" s="2620" t="s">
        <v>1889</v>
      </c>
      <c r="Q37" s="3360">
        <v>5734248811</v>
      </c>
      <c r="R37" s="3361"/>
      <c r="S37" s="3362"/>
      <c r="Z37" s="1773">
        <v>37</v>
      </c>
    </row>
    <row r="38" spans="3:26" s="289" customFormat="1" ht="11.25" customHeight="1">
      <c r="D38" s="326"/>
      <c r="E38" s="2618" t="s">
        <v>3614</v>
      </c>
      <c r="H38" s="3382">
        <v>5734432021</v>
      </c>
      <c r="I38" s="3387"/>
      <c r="J38" s="2756"/>
      <c r="K38" s="2629" t="s">
        <v>1894</v>
      </c>
      <c r="L38" s="3367" t="s">
        <v>6885</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4" t="s">
        <v>6882</v>
      </c>
      <c r="I40" s="3385"/>
      <c r="J40" s="3385"/>
      <c r="K40" s="3385"/>
      <c r="L40" s="3385"/>
      <c r="M40" s="3385"/>
      <c r="N40" s="3386"/>
      <c r="O40" s="2620" t="s">
        <v>1899</v>
      </c>
      <c r="P40" s="2620"/>
      <c r="Q40" s="3384" t="s">
        <v>6886</v>
      </c>
      <c r="R40" s="3385"/>
      <c r="S40" s="3386"/>
      <c r="Z40" s="1773">
        <v>40</v>
      </c>
    </row>
    <row r="41" spans="3:26" s="289" customFormat="1" ht="11.25" customHeight="1">
      <c r="D41" s="326"/>
      <c r="E41" s="2618" t="s">
        <v>982</v>
      </c>
      <c r="F41" s="301"/>
      <c r="H41" s="3147" t="s">
        <v>6883</v>
      </c>
      <c r="I41" s="3388"/>
      <c r="J41" s="3388"/>
      <c r="K41" s="3389"/>
      <c r="L41" s="3388"/>
      <c r="M41" s="3388"/>
      <c r="N41" s="3390"/>
      <c r="O41" s="2620" t="s">
        <v>1668</v>
      </c>
      <c r="Q41" s="3169" t="s">
        <v>6887</v>
      </c>
      <c r="R41" s="3249"/>
      <c r="S41" s="3250"/>
      <c r="Z41" s="1773">
        <v>41</v>
      </c>
    </row>
    <row r="42" spans="3:26" s="289" customFormat="1" ht="11.25" customHeight="1">
      <c r="D42" s="326"/>
      <c r="E42" s="2618" t="s">
        <v>588</v>
      </c>
      <c r="H42" s="3147" t="s">
        <v>2410</v>
      </c>
      <c r="I42" s="3389"/>
      <c r="J42" s="3262"/>
      <c r="K42" s="2635" t="s">
        <v>2553</v>
      </c>
      <c r="L42" s="3147" t="s">
        <v>6884</v>
      </c>
      <c r="M42" s="3388"/>
      <c r="N42" s="3262"/>
      <c r="O42" s="2620" t="s">
        <v>1644</v>
      </c>
      <c r="Q42" s="3360">
        <v>5734432021</v>
      </c>
      <c r="R42" s="3361"/>
      <c r="S42" s="3362"/>
      <c r="Z42" s="1773">
        <v>42</v>
      </c>
    </row>
    <row r="43" spans="3:26" s="289" customFormat="1" ht="11.25" customHeight="1">
      <c r="D43" s="291"/>
      <c r="E43" s="2618" t="s">
        <v>1717</v>
      </c>
      <c r="H43" s="2694" t="s">
        <v>1292</v>
      </c>
      <c r="K43" s="916" t="s">
        <v>2128</v>
      </c>
      <c r="L43" s="3157">
        <v>652034905</v>
      </c>
      <c r="M43" s="3391"/>
      <c r="O43" s="2620" t="s">
        <v>1889</v>
      </c>
      <c r="Q43" s="3360">
        <v>5734248811</v>
      </c>
      <c r="R43" s="3361"/>
      <c r="S43" s="3362"/>
      <c r="Z43" s="1773">
        <v>43</v>
      </c>
    </row>
    <row r="44" spans="3:26" s="289" customFormat="1" ht="11.25" customHeight="1">
      <c r="D44" s="326"/>
      <c r="E44" s="2618" t="s">
        <v>3614</v>
      </c>
      <c r="H44" s="3382">
        <v>5734432021</v>
      </c>
      <c r="I44" s="3387"/>
      <c r="J44" s="2756"/>
      <c r="K44" s="2629" t="s">
        <v>1894</v>
      </c>
      <c r="L44" s="3367" t="s">
        <v>6885</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3613</v>
      </c>
      <c r="L46" s="2627"/>
      <c r="M46" s="2627"/>
      <c r="Z46" s="1773">
        <v>46</v>
      </c>
    </row>
    <row r="47" spans="3:26" s="289" customFormat="1" ht="11.25" customHeight="1">
      <c r="E47" s="289" t="s">
        <v>87</v>
      </c>
      <c r="H47" s="3384"/>
      <c r="I47" s="3385"/>
      <c r="J47" s="3385"/>
      <c r="K47" s="3385"/>
      <c r="L47" s="3385"/>
      <c r="M47" s="3385"/>
      <c r="N47" s="3386"/>
      <c r="O47" s="2620" t="s">
        <v>1899</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2553</v>
      </c>
      <c r="L49" s="3147"/>
      <c r="M49" s="3388"/>
      <c r="N49" s="3262"/>
      <c r="O49" s="2620" t="s">
        <v>1644</v>
      </c>
      <c r="Q49" s="3360"/>
      <c r="R49" s="3361"/>
      <c r="S49" s="3362"/>
      <c r="Z49" s="1773">
        <v>49</v>
      </c>
    </row>
    <row r="50" spans="1:26" s="289" customFormat="1" ht="11.25" customHeight="1">
      <c r="E50" s="2618" t="s">
        <v>1717</v>
      </c>
      <c r="H50" s="2694"/>
      <c r="K50" s="916" t="s">
        <v>2128</v>
      </c>
      <c r="L50" s="3157"/>
      <c r="M50" s="3391"/>
      <c r="O50" s="2620" t="s">
        <v>1889</v>
      </c>
      <c r="Q50" s="3360"/>
      <c r="R50" s="3361"/>
      <c r="S50" s="3362"/>
      <c r="Z50" s="1773">
        <v>50</v>
      </c>
    </row>
    <row r="51" spans="1:26" s="289" customFormat="1" ht="11.25" customHeight="1">
      <c r="D51" s="326"/>
      <c r="E51" s="2618" t="s">
        <v>3614</v>
      </c>
      <c r="H51" s="3382"/>
      <c r="I51" s="3387"/>
      <c r="J51" s="2756"/>
      <c r="K51" s="2629" t="s">
        <v>1894</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3613</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4" t="s">
        <v>6854</v>
      </c>
      <c r="I55" s="3385"/>
      <c r="J55" s="3385"/>
      <c r="K55" s="3385"/>
      <c r="L55" s="3385"/>
      <c r="M55" s="3385"/>
      <c r="N55" s="3386"/>
      <c r="O55" s="2620" t="s">
        <v>1899</v>
      </c>
      <c r="P55" s="2620"/>
      <c r="Q55" s="3384" t="s">
        <v>6855</v>
      </c>
      <c r="R55" s="3385"/>
      <c r="S55" s="3386"/>
      <c r="Z55" s="1773">
        <v>55</v>
      </c>
    </row>
    <row r="56" spans="1:26" s="289" customFormat="1" ht="11.25" customHeight="1">
      <c r="D56" s="326"/>
      <c r="E56" s="2618" t="s">
        <v>982</v>
      </c>
      <c r="F56" s="301"/>
      <c r="H56" s="3147" t="s">
        <v>6880</v>
      </c>
      <c r="I56" s="3388"/>
      <c r="J56" s="3388"/>
      <c r="K56" s="3389"/>
      <c r="L56" s="3388"/>
      <c r="M56" s="3388"/>
      <c r="N56" s="3390"/>
      <c r="O56" s="2620" t="s">
        <v>1668</v>
      </c>
      <c r="Q56" s="3169" t="s">
        <v>2362</v>
      </c>
      <c r="R56" s="3249"/>
      <c r="S56" s="3250"/>
      <c r="Z56" s="1773">
        <v>56</v>
      </c>
    </row>
    <row r="57" spans="1:26" s="289" customFormat="1" ht="11.25" customHeight="1">
      <c r="D57" s="326"/>
      <c r="E57" s="2618" t="s">
        <v>588</v>
      </c>
      <c r="H57" s="3147" t="s">
        <v>6856</v>
      </c>
      <c r="I57" s="3389"/>
      <c r="J57" s="3262"/>
      <c r="K57" s="2635" t="s">
        <v>2553</v>
      </c>
      <c r="L57" s="3147" t="s">
        <v>6881</v>
      </c>
      <c r="M57" s="3388"/>
      <c r="N57" s="3262"/>
      <c r="O57" s="2620" t="s">
        <v>1644</v>
      </c>
      <c r="Q57" s="3360">
        <v>9046196215</v>
      </c>
      <c r="R57" s="3361"/>
      <c r="S57" s="3362"/>
      <c r="Z57" s="1773">
        <v>57</v>
      </c>
    </row>
    <row r="58" spans="1:26" s="289" customFormat="1" ht="11.25" customHeight="1">
      <c r="E58" s="2618" t="s">
        <v>1717</v>
      </c>
      <c r="H58" s="2694" t="s">
        <v>814</v>
      </c>
      <c r="K58" s="916" t="s">
        <v>2128</v>
      </c>
      <c r="L58" s="3157">
        <v>347440000</v>
      </c>
      <c r="M58" s="3391"/>
      <c r="O58" s="2620" t="s">
        <v>1889</v>
      </c>
      <c r="Q58" s="3360"/>
      <c r="R58" s="3361"/>
      <c r="S58" s="3362"/>
      <c r="Z58" s="1773">
        <v>58</v>
      </c>
    </row>
    <row r="59" spans="1:26" s="289" customFormat="1" ht="11.25" customHeight="1">
      <c r="D59" s="326"/>
      <c r="E59" s="2618" t="s">
        <v>3614</v>
      </c>
      <c r="H59" s="3382">
        <v>9046196215</v>
      </c>
      <c r="I59" s="3387"/>
      <c r="J59" s="2756"/>
      <c r="K59" s="2629" t="s">
        <v>1894</v>
      </c>
      <c r="L59" s="3367" t="s">
        <v>6857</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4"/>
      <c r="I61" s="3385"/>
      <c r="J61" s="3385"/>
      <c r="K61" s="3385"/>
      <c r="L61" s="3385"/>
      <c r="M61" s="3385"/>
      <c r="N61" s="3386"/>
      <c r="O61" s="2620" t="s">
        <v>1899</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2553</v>
      </c>
      <c r="L63" s="3147"/>
      <c r="M63" s="3388"/>
      <c r="N63" s="3262"/>
      <c r="O63" s="2620" t="s">
        <v>1644</v>
      </c>
      <c r="Q63" s="3360"/>
      <c r="R63" s="3361"/>
      <c r="S63" s="3362"/>
      <c r="Z63" s="1773">
        <v>63</v>
      </c>
    </row>
    <row r="64" spans="1:26" s="289" customFormat="1" ht="11.25" customHeight="1">
      <c r="E64" s="2618" t="s">
        <v>1717</v>
      </c>
      <c r="H64" s="2694"/>
      <c r="K64" s="916" t="s">
        <v>2128</v>
      </c>
      <c r="L64" s="3157"/>
      <c r="M64" s="3391"/>
      <c r="O64" s="2620" t="s">
        <v>1889</v>
      </c>
      <c r="Q64" s="3360"/>
      <c r="R64" s="3361"/>
      <c r="S64" s="3362"/>
      <c r="Z64" s="1773">
        <v>64</v>
      </c>
    </row>
    <row r="65" spans="1:26" s="289" customFormat="1" ht="11.25" customHeight="1">
      <c r="D65" s="326"/>
      <c r="E65" s="2618" t="s">
        <v>3614</v>
      </c>
      <c r="H65" s="3382"/>
      <c r="I65" s="3387"/>
      <c r="J65" s="2756"/>
      <c r="K65" s="2629" t="s">
        <v>1894</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2553</v>
      </c>
      <c r="L69" s="3147"/>
      <c r="M69" s="3388"/>
      <c r="N69" s="3262"/>
      <c r="O69" s="2620" t="s">
        <v>1644</v>
      </c>
      <c r="Q69" s="3360"/>
      <c r="R69" s="3361"/>
      <c r="S69" s="3362"/>
      <c r="Z69" s="1773">
        <v>69</v>
      </c>
    </row>
    <row r="70" spans="1:26" s="289" customFormat="1" ht="11.25" customHeight="1">
      <c r="E70" s="2618" t="s">
        <v>1717</v>
      </c>
      <c r="H70" s="2694"/>
      <c r="K70" s="916" t="s">
        <v>2128</v>
      </c>
      <c r="L70" s="3157"/>
      <c r="M70" s="3391"/>
      <c r="O70" s="2620" t="s">
        <v>1889</v>
      </c>
      <c r="Q70" s="3360"/>
      <c r="R70" s="3361"/>
      <c r="S70" s="3362"/>
      <c r="Z70" s="1773">
        <v>70</v>
      </c>
    </row>
    <row r="71" spans="1:26" s="289" customFormat="1" ht="11.25" customHeight="1">
      <c r="D71" s="326"/>
      <c r="E71" s="2618" t="s">
        <v>3614</v>
      </c>
      <c r="H71" s="3382"/>
      <c r="I71" s="3387"/>
      <c r="J71" s="2756"/>
      <c r="K71" s="2629" t="s">
        <v>1894</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4" t="s">
        <v>6996</v>
      </c>
      <c r="I73" s="3385"/>
      <c r="J73" s="3385"/>
      <c r="K73" s="3385"/>
      <c r="L73" s="3385"/>
      <c r="M73" s="3385"/>
      <c r="N73" s="3386"/>
      <c r="O73" s="2620" t="s">
        <v>1899</v>
      </c>
      <c r="P73" s="2620"/>
      <c r="Q73" s="3384" t="s">
        <v>7001</v>
      </c>
      <c r="R73" s="3385"/>
      <c r="S73" s="3386"/>
      <c r="Z73" s="1773">
        <v>73</v>
      </c>
    </row>
    <row r="74" spans="1:26" s="289" customFormat="1" ht="11.25" customHeight="1">
      <c r="D74" s="326"/>
      <c r="E74" s="2618" t="s">
        <v>982</v>
      </c>
      <c r="F74" s="301"/>
      <c r="H74" s="3147" t="s">
        <v>6998</v>
      </c>
      <c r="I74" s="3388"/>
      <c r="J74" s="3388"/>
      <c r="K74" s="3389"/>
      <c r="L74" s="3388"/>
      <c r="M74" s="3388"/>
      <c r="N74" s="3390"/>
      <c r="O74" s="2620" t="s">
        <v>1668</v>
      </c>
      <c r="Q74" s="3169" t="s">
        <v>7002</v>
      </c>
      <c r="R74" s="3249"/>
      <c r="S74" s="3250"/>
      <c r="Z74" s="1773">
        <v>74</v>
      </c>
    </row>
    <row r="75" spans="1:26" s="289" customFormat="1" ht="11.25" customHeight="1">
      <c r="D75" s="326"/>
      <c r="E75" s="2618" t="s">
        <v>588</v>
      </c>
      <c r="H75" s="3147" t="s">
        <v>2165</v>
      </c>
      <c r="I75" s="3389"/>
      <c r="J75" s="3262"/>
      <c r="K75" s="2635" t="s">
        <v>2553</v>
      </c>
      <c r="L75" s="3147" t="s">
        <v>6999</v>
      </c>
      <c r="M75" s="3388"/>
      <c r="N75" s="3262"/>
      <c r="O75" s="2620" t="s">
        <v>1644</v>
      </c>
      <c r="Q75" s="3360">
        <v>2295918339</v>
      </c>
      <c r="R75" s="3361"/>
      <c r="S75" s="3362"/>
      <c r="Z75" s="1773">
        <v>75</v>
      </c>
    </row>
    <row r="76" spans="1:26" s="289" customFormat="1" ht="11.25" customHeight="1">
      <c r="E76" s="2618" t="s">
        <v>1717</v>
      </c>
      <c r="H76" s="2694" t="s">
        <v>815</v>
      </c>
      <c r="K76" s="916" t="s">
        <v>2128</v>
      </c>
      <c r="L76" s="3157">
        <v>301614424</v>
      </c>
      <c r="M76" s="3391"/>
      <c r="O76" s="2620" t="s">
        <v>1889</v>
      </c>
      <c r="Q76" s="3360">
        <v>2292885971</v>
      </c>
      <c r="R76" s="3361"/>
      <c r="S76" s="3362"/>
      <c r="Z76" s="1773">
        <v>76</v>
      </c>
    </row>
    <row r="77" spans="1:26" s="289" customFormat="1" ht="11.25" customHeight="1">
      <c r="D77" s="326"/>
      <c r="E77" s="2618" t="s">
        <v>3614</v>
      </c>
      <c r="H77" s="3382">
        <v>7065918339</v>
      </c>
      <c r="I77" s="3387"/>
      <c r="J77" s="2756"/>
      <c r="K77" s="2629" t="s">
        <v>1894</v>
      </c>
      <c r="L77" s="3367" t="s">
        <v>7000</v>
      </c>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3613</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2553</v>
      </c>
      <c r="L83" s="3147"/>
      <c r="M83" s="3388"/>
      <c r="N83" s="3262"/>
      <c r="O83" s="2620" t="s">
        <v>1644</v>
      </c>
      <c r="Q83" s="3360"/>
      <c r="R83" s="3361"/>
      <c r="S83" s="3362"/>
      <c r="Z83" s="1773">
        <v>83</v>
      </c>
    </row>
    <row r="84" spans="2:26" s="289" customFormat="1" ht="11.25" customHeight="1">
      <c r="E84" s="2618" t="s">
        <v>1717</v>
      </c>
      <c r="H84" s="2694"/>
      <c r="K84" s="916" t="s">
        <v>2128</v>
      </c>
      <c r="L84" s="3157"/>
      <c r="M84" s="3391"/>
      <c r="O84" s="2620" t="s">
        <v>1889</v>
      </c>
      <c r="Q84" s="3360"/>
      <c r="R84" s="3361"/>
      <c r="S84" s="3362"/>
      <c r="Z84" s="1773">
        <v>84</v>
      </c>
    </row>
    <row r="85" spans="2:26" s="289" customFormat="1" ht="11.25" customHeight="1">
      <c r="D85" s="326"/>
      <c r="E85" s="2618" t="s">
        <v>3614</v>
      </c>
      <c r="H85" s="3382"/>
      <c r="I85" s="3387"/>
      <c r="J85" s="2756"/>
      <c r="K85" s="2629" t="s">
        <v>1894</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4" t="s">
        <v>6888</v>
      </c>
      <c r="I87" s="3385"/>
      <c r="J87" s="3385"/>
      <c r="K87" s="3385"/>
      <c r="L87" s="3385"/>
      <c r="M87" s="3385"/>
      <c r="N87" s="3386"/>
      <c r="O87" s="2620" t="s">
        <v>1899</v>
      </c>
      <c r="P87" s="2620"/>
      <c r="Q87" s="3384" t="s">
        <v>6891</v>
      </c>
      <c r="R87" s="3385"/>
      <c r="S87" s="3386"/>
      <c r="Z87" s="1773">
        <v>87</v>
      </c>
    </row>
    <row r="88" spans="2:26" s="289" customFormat="1" ht="11.25" customHeight="1">
      <c r="D88" s="326"/>
      <c r="E88" s="2618" t="s">
        <v>982</v>
      </c>
      <c r="F88" s="301"/>
      <c r="H88" s="3147" t="s">
        <v>6883</v>
      </c>
      <c r="I88" s="3388"/>
      <c r="J88" s="3388"/>
      <c r="K88" s="3389"/>
      <c r="L88" s="3388"/>
      <c r="M88" s="3388"/>
      <c r="N88" s="3390"/>
      <c r="O88" s="2620" t="s">
        <v>1668</v>
      </c>
      <c r="Q88" s="3169" t="s">
        <v>6892</v>
      </c>
      <c r="R88" s="3249"/>
      <c r="S88" s="3250"/>
      <c r="Z88" s="1773">
        <v>88</v>
      </c>
    </row>
    <row r="89" spans="2:26" s="289" customFormat="1" ht="11.25" customHeight="1">
      <c r="D89" s="326"/>
      <c r="E89" s="2618" t="s">
        <v>588</v>
      </c>
      <c r="H89" s="3147" t="s">
        <v>2410</v>
      </c>
      <c r="I89" s="3389"/>
      <c r="J89" s="3262"/>
      <c r="K89" s="2635" t="s">
        <v>2553</v>
      </c>
      <c r="L89" s="3147" t="s">
        <v>6889</v>
      </c>
      <c r="M89" s="3388"/>
      <c r="N89" s="3262"/>
      <c r="O89" s="2620" t="s">
        <v>1644</v>
      </c>
      <c r="Q89" s="3360">
        <v>5734432021</v>
      </c>
      <c r="R89" s="3361"/>
      <c r="S89" s="3362"/>
      <c r="Z89" s="1773">
        <v>89</v>
      </c>
    </row>
    <row r="90" spans="2:26" s="289" customFormat="1" ht="11.25" customHeight="1">
      <c r="E90" s="2618" t="s">
        <v>1717</v>
      </c>
      <c r="H90" s="2694" t="s">
        <v>1292</v>
      </c>
      <c r="K90" s="916" t="s">
        <v>2128</v>
      </c>
      <c r="L90" s="3157">
        <v>652034905</v>
      </c>
      <c r="M90" s="3391"/>
      <c r="O90" s="2620" t="s">
        <v>1889</v>
      </c>
      <c r="Q90" s="3360"/>
      <c r="R90" s="3361"/>
      <c r="S90" s="3362"/>
      <c r="Z90" s="1773">
        <v>90</v>
      </c>
    </row>
    <row r="91" spans="2:26" s="289" customFormat="1" ht="11.25" customHeight="1">
      <c r="D91" s="326"/>
      <c r="E91" s="2618" t="s">
        <v>3614</v>
      </c>
      <c r="H91" s="3382">
        <v>5734432021</v>
      </c>
      <c r="I91" s="3387"/>
      <c r="J91" s="2756"/>
      <c r="K91" s="2629" t="s">
        <v>1894</v>
      </c>
      <c r="L91" s="3367" t="s">
        <v>6890</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6893</v>
      </c>
      <c r="I93" s="3385"/>
      <c r="J93" s="3385"/>
      <c r="K93" s="3385"/>
      <c r="L93" s="3385"/>
      <c r="M93" s="3385"/>
      <c r="N93" s="3386"/>
      <c r="O93" s="2620" t="s">
        <v>1899</v>
      </c>
      <c r="P93" s="2620"/>
      <c r="Q93" s="3384" t="s">
        <v>6896</v>
      </c>
      <c r="R93" s="3385"/>
      <c r="S93" s="3386"/>
      <c r="Z93" s="1773">
        <v>93</v>
      </c>
    </row>
    <row r="94" spans="2:26" s="289" customFormat="1" ht="11.25" customHeight="1">
      <c r="D94" s="326"/>
      <c r="E94" s="2618" t="s">
        <v>982</v>
      </c>
      <c r="F94" s="301"/>
      <c r="H94" s="3147" t="s">
        <v>6894</v>
      </c>
      <c r="I94" s="3388"/>
      <c r="J94" s="3388"/>
      <c r="K94" s="3389"/>
      <c r="L94" s="3388"/>
      <c r="M94" s="3388"/>
      <c r="N94" s="3390"/>
      <c r="O94" s="2620" t="s">
        <v>1668</v>
      </c>
      <c r="Q94" s="3169" t="s">
        <v>6897</v>
      </c>
      <c r="R94" s="3249"/>
      <c r="S94" s="3250"/>
      <c r="Z94" s="1773">
        <v>94</v>
      </c>
    </row>
    <row r="95" spans="2:26" s="289" customFormat="1" ht="11.25" customHeight="1">
      <c r="D95" s="326"/>
      <c r="E95" s="2618" t="s">
        <v>588</v>
      </c>
      <c r="H95" s="3147" t="s">
        <v>1159</v>
      </c>
      <c r="I95" s="3389"/>
      <c r="J95" s="3262"/>
      <c r="K95" s="2635" t="s">
        <v>2553</v>
      </c>
      <c r="L95" s="3147" t="s">
        <v>6895</v>
      </c>
      <c r="M95" s="3388"/>
      <c r="N95" s="3262"/>
      <c r="O95" s="2620" t="s">
        <v>1644</v>
      </c>
      <c r="Q95" s="3360">
        <v>5734432021</v>
      </c>
      <c r="R95" s="3361"/>
      <c r="S95" s="3362"/>
      <c r="Z95" s="1773">
        <v>95</v>
      </c>
    </row>
    <row r="96" spans="2:26" s="289" customFormat="1" ht="11.25" customHeight="1">
      <c r="D96" s="326"/>
      <c r="E96" s="2618" t="s">
        <v>1717</v>
      </c>
      <c r="H96" s="2694" t="s">
        <v>815</v>
      </c>
      <c r="K96" s="916" t="s">
        <v>2128</v>
      </c>
      <c r="L96" s="3157">
        <v>303272212</v>
      </c>
      <c r="M96" s="3391"/>
      <c r="O96" s="2620" t="s">
        <v>1889</v>
      </c>
      <c r="Q96" s="3360"/>
      <c r="R96" s="3361"/>
      <c r="S96" s="3362"/>
      <c r="Z96" s="1773">
        <v>96</v>
      </c>
    </row>
    <row r="97" spans="2:26" s="289" customFormat="1" ht="11.25" customHeight="1">
      <c r="D97" s="326"/>
      <c r="E97" s="2618" t="s">
        <v>3614</v>
      </c>
      <c r="H97" s="3382">
        <v>5734432021</v>
      </c>
      <c r="I97" s="3387"/>
      <c r="J97" s="2756"/>
      <c r="K97" s="2629" t="s">
        <v>1894</v>
      </c>
      <c r="L97" s="3367" t="s">
        <v>6898</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4" t="s">
        <v>6899</v>
      </c>
      <c r="I99" s="3385"/>
      <c r="J99" s="3385"/>
      <c r="K99" s="3385"/>
      <c r="L99" s="3385"/>
      <c r="M99" s="3385"/>
      <c r="N99" s="3386"/>
      <c r="O99" s="2620" t="s">
        <v>1899</v>
      </c>
      <c r="P99" s="2620"/>
      <c r="Q99" s="3384" t="s">
        <v>6903</v>
      </c>
      <c r="R99" s="3385"/>
      <c r="S99" s="3386"/>
      <c r="Z99" s="1773">
        <v>99</v>
      </c>
    </row>
    <row r="100" spans="2:26" s="289" customFormat="1" ht="11.25" customHeight="1">
      <c r="D100" s="326"/>
      <c r="E100" s="2618" t="s">
        <v>982</v>
      </c>
      <c r="F100" s="301"/>
      <c r="H100" s="3147" t="s">
        <v>6900</v>
      </c>
      <c r="I100" s="3388"/>
      <c r="J100" s="3388"/>
      <c r="K100" s="3389"/>
      <c r="L100" s="3388"/>
      <c r="M100" s="3388"/>
      <c r="N100" s="3390"/>
      <c r="O100" s="2620" t="s">
        <v>1668</v>
      </c>
      <c r="Q100" s="3169" t="s">
        <v>6904</v>
      </c>
      <c r="R100" s="3249"/>
      <c r="S100" s="3250"/>
      <c r="Z100" s="1773">
        <v>100</v>
      </c>
    </row>
    <row r="101" spans="2:26" s="289" customFormat="1" ht="11.25" customHeight="1">
      <c r="D101" s="326"/>
      <c r="E101" s="2618" t="s">
        <v>588</v>
      </c>
      <c r="H101" s="3147" t="s">
        <v>2410</v>
      </c>
      <c r="I101" s="3389"/>
      <c r="J101" s="3262"/>
      <c r="K101" s="2635" t="s">
        <v>2553</v>
      </c>
      <c r="L101" s="3147" t="s">
        <v>6901</v>
      </c>
      <c r="M101" s="3388"/>
      <c r="N101" s="3262"/>
      <c r="O101" s="2620" t="s">
        <v>1644</v>
      </c>
      <c r="Q101" s="3360">
        <v>5738747777</v>
      </c>
      <c r="R101" s="3361"/>
      <c r="S101" s="3362"/>
      <c r="Z101" s="1773">
        <v>101</v>
      </c>
    </row>
    <row r="102" spans="2:26" s="289" customFormat="1" ht="11.25" customHeight="1">
      <c r="D102" s="326"/>
      <c r="E102" s="2618" t="s">
        <v>1717</v>
      </c>
      <c r="H102" s="2694" t="s">
        <v>1292</v>
      </c>
      <c r="K102" s="916" t="s">
        <v>2128</v>
      </c>
      <c r="L102" s="3157">
        <v>652034955</v>
      </c>
      <c r="M102" s="3391"/>
      <c r="O102" s="2620" t="s">
        <v>1889</v>
      </c>
      <c r="Q102" s="3360"/>
      <c r="R102" s="3361"/>
      <c r="S102" s="3362"/>
      <c r="Z102" s="1773">
        <v>102</v>
      </c>
    </row>
    <row r="103" spans="2:26" ht="11.25" customHeight="1">
      <c r="E103" s="2618" t="s">
        <v>3614</v>
      </c>
      <c r="F103" s="289"/>
      <c r="G103" s="289"/>
      <c r="H103" s="3382">
        <v>5738747777</v>
      </c>
      <c r="I103" s="3387"/>
      <c r="J103" s="2756"/>
      <c r="K103" s="2629" t="s">
        <v>1894</v>
      </c>
      <c r="L103" s="3367" t="s">
        <v>6902</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6905</v>
      </c>
      <c r="I105" s="3385"/>
      <c r="J105" s="3385"/>
      <c r="K105" s="3385"/>
      <c r="L105" s="3385"/>
      <c r="M105" s="3385"/>
      <c r="N105" s="3386"/>
      <c r="O105" s="2620" t="s">
        <v>1899</v>
      </c>
      <c r="P105" s="2620"/>
      <c r="Q105" s="3384" t="s">
        <v>6910</v>
      </c>
      <c r="R105" s="3385"/>
      <c r="S105" s="3386"/>
      <c r="Z105" s="1773">
        <v>105</v>
      </c>
    </row>
    <row r="106" spans="2:26" s="289" customFormat="1" ht="11.25" customHeight="1">
      <c r="D106" s="326"/>
      <c r="E106" s="2618" t="s">
        <v>982</v>
      </c>
      <c r="F106" s="301"/>
      <c r="H106" s="3147" t="s">
        <v>6906</v>
      </c>
      <c r="I106" s="3388"/>
      <c r="J106" s="3388"/>
      <c r="K106" s="3389"/>
      <c r="L106" s="3388"/>
      <c r="M106" s="3388"/>
      <c r="N106" s="3390"/>
      <c r="O106" s="2620" t="s">
        <v>1668</v>
      </c>
      <c r="Q106" s="3169" t="s">
        <v>6911</v>
      </c>
      <c r="R106" s="3249"/>
      <c r="S106" s="3250"/>
      <c r="Z106" s="1773">
        <v>106</v>
      </c>
    </row>
    <row r="107" spans="2:26" s="289" customFormat="1" ht="11.25" customHeight="1">
      <c r="D107" s="326"/>
      <c r="E107" s="2618" t="s">
        <v>588</v>
      </c>
      <c r="H107" s="3147" t="s">
        <v>6907</v>
      </c>
      <c r="I107" s="3389"/>
      <c r="J107" s="3262"/>
      <c r="K107" s="2635" t="s">
        <v>2553</v>
      </c>
      <c r="L107" s="3147" t="s">
        <v>6908</v>
      </c>
      <c r="M107" s="3388"/>
      <c r="N107" s="3262"/>
      <c r="O107" s="2620" t="s">
        <v>1644</v>
      </c>
      <c r="Q107" s="3360">
        <v>4702736610</v>
      </c>
      <c r="R107" s="3361"/>
      <c r="S107" s="3362"/>
      <c r="Z107" s="1773">
        <v>107</v>
      </c>
    </row>
    <row r="108" spans="2:26" s="289" customFormat="1" ht="11.25" customHeight="1">
      <c r="D108" s="326"/>
      <c r="E108" s="2618" t="s">
        <v>1717</v>
      </c>
      <c r="H108" s="2694" t="s">
        <v>815</v>
      </c>
      <c r="K108" s="916" t="s">
        <v>2128</v>
      </c>
      <c r="L108" s="3157">
        <v>300240000</v>
      </c>
      <c r="M108" s="3391"/>
      <c r="O108" s="2620" t="s">
        <v>1889</v>
      </c>
      <c r="Q108" s="3360"/>
      <c r="R108" s="3361"/>
      <c r="S108" s="3362"/>
      <c r="Z108" s="1773">
        <v>108</v>
      </c>
    </row>
    <row r="109" spans="2:26" ht="11.25" customHeight="1">
      <c r="E109" s="2618" t="s">
        <v>3614</v>
      </c>
      <c r="F109" s="289"/>
      <c r="G109" s="289"/>
      <c r="H109" s="3382">
        <v>4702736610</v>
      </c>
      <c r="I109" s="3387"/>
      <c r="J109" s="2756"/>
      <c r="K109" s="2629" t="s">
        <v>1894</v>
      </c>
      <c r="L109" s="3367" t="s">
        <v>6909</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6912</v>
      </c>
      <c r="I111" s="3385"/>
      <c r="J111" s="3385"/>
      <c r="K111" s="3385"/>
      <c r="L111" s="3385"/>
      <c r="M111" s="3385"/>
      <c r="N111" s="3386"/>
      <c r="O111" s="2620" t="s">
        <v>1899</v>
      </c>
      <c r="P111" s="2620"/>
      <c r="Q111" s="3384" t="s">
        <v>6916</v>
      </c>
      <c r="R111" s="3385"/>
      <c r="S111" s="3386"/>
      <c r="Z111" s="1773">
        <v>111</v>
      </c>
    </row>
    <row r="112" spans="2:26" s="289" customFormat="1" ht="11.25" customHeight="1">
      <c r="D112" s="326"/>
      <c r="E112" s="2618" t="s">
        <v>982</v>
      </c>
      <c r="F112" s="301"/>
      <c r="H112" s="3147" t="s">
        <v>6913</v>
      </c>
      <c r="I112" s="3388"/>
      <c r="J112" s="3388"/>
      <c r="K112" s="3389"/>
      <c r="L112" s="3388"/>
      <c r="M112" s="3388"/>
      <c r="N112" s="3390"/>
      <c r="O112" s="2620" t="s">
        <v>1668</v>
      </c>
      <c r="Q112" s="3169" t="s">
        <v>6887</v>
      </c>
      <c r="R112" s="3249"/>
      <c r="S112" s="3250"/>
      <c r="Z112" s="1773">
        <v>112</v>
      </c>
    </row>
    <row r="113" spans="1:26" s="289" customFormat="1" ht="11.25" customHeight="1">
      <c r="D113" s="326"/>
      <c r="E113" s="2618" t="s">
        <v>588</v>
      </c>
      <c r="H113" s="3147" t="s">
        <v>188</v>
      </c>
      <c r="I113" s="3389"/>
      <c r="J113" s="3262"/>
      <c r="K113" s="2635" t="s">
        <v>2553</v>
      </c>
      <c r="L113" s="3147" t="s">
        <v>6914</v>
      </c>
      <c r="M113" s="3388"/>
      <c r="N113" s="3262"/>
      <c r="O113" s="2620" t="s">
        <v>1644</v>
      </c>
      <c r="Q113" s="3360">
        <v>4043732800</v>
      </c>
      <c r="R113" s="3361"/>
      <c r="S113" s="3362"/>
      <c r="Z113" s="1773">
        <v>113</v>
      </c>
    </row>
    <row r="114" spans="1:26" s="289" customFormat="1" ht="11.25" customHeight="1">
      <c r="D114" s="330"/>
      <c r="E114" s="2618" t="s">
        <v>1717</v>
      </c>
      <c r="H114" s="2694" t="s">
        <v>815</v>
      </c>
      <c r="K114" s="916" t="s">
        <v>2128</v>
      </c>
      <c r="L114" s="3157">
        <v>300303329</v>
      </c>
      <c r="M114" s="3391"/>
      <c r="O114" s="2620" t="s">
        <v>1889</v>
      </c>
      <c r="Q114" s="3360"/>
      <c r="R114" s="3361"/>
      <c r="S114" s="3362"/>
      <c r="Z114" s="1773">
        <v>114</v>
      </c>
    </row>
    <row r="115" spans="1:26" s="289" customFormat="1" ht="11.25" customHeight="1">
      <c r="D115" s="330"/>
      <c r="E115" s="2618" t="s">
        <v>3614</v>
      </c>
      <c r="H115" s="3382">
        <v>4043732800</v>
      </c>
      <c r="I115" s="3387"/>
      <c r="J115" s="2756"/>
      <c r="K115" s="2629" t="s">
        <v>1894</v>
      </c>
      <c r="L115" s="3367" t="s">
        <v>6915</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6780</v>
      </c>
      <c r="H120" s="3384" t="s">
        <v>6917</v>
      </c>
      <c r="I120" s="3405"/>
      <c r="J120" s="3406"/>
      <c r="K120" s="2629" t="s">
        <v>1716</v>
      </c>
      <c r="L120" s="3384"/>
      <c r="M120" s="3385"/>
      <c r="N120" s="3386"/>
      <c r="O120" s="2618" t="s">
        <v>3262</v>
      </c>
      <c r="Q120" s="3398">
        <v>7062918000</v>
      </c>
      <c r="R120" s="3399"/>
      <c r="S120" s="3400"/>
      <c r="Z120" s="1773">
        <v>120</v>
      </c>
    </row>
    <row r="121" spans="1:26" s="289" customFormat="1" ht="11.25" customHeight="1">
      <c r="C121" s="291"/>
      <c r="D121" s="326"/>
      <c r="E121" s="2618" t="s">
        <v>6486</v>
      </c>
      <c r="F121" s="301"/>
      <c r="H121" s="3251" t="s">
        <v>6918</v>
      </c>
      <c r="I121" s="3401"/>
      <c r="J121" s="3402"/>
      <c r="K121" s="3252"/>
      <c r="L121" s="3401"/>
      <c r="M121" s="3401"/>
      <c r="N121" s="3403"/>
      <c r="O121" s="2618" t="s">
        <v>588</v>
      </c>
      <c r="Q121" s="3404" t="s">
        <v>2165</v>
      </c>
      <c r="R121" s="3255"/>
      <c r="S121" s="3256"/>
      <c r="Z121" s="1773">
        <v>121</v>
      </c>
    </row>
    <row r="122" spans="1:26" s="289" customFormat="1" ht="11.25" customHeight="1">
      <c r="C122" s="291"/>
      <c r="D122" s="326"/>
      <c r="E122" s="2618" t="s">
        <v>1717</v>
      </c>
      <c r="H122" s="2761" t="s">
        <v>815</v>
      </c>
      <c r="I122" s="916" t="s">
        <v>2128</v>
      </c>
      <c r="J122" s="3261">
        <v>301650000</v>
      </c>
      <c r="K122" s="3262"/>
      <c r="L122" s="2629" t="s">
        <v>1894</v>
      </c>
      <c r="M122" s="3178"/>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6781</v>
      </c>
      <c r="H124" s="3384"/>
      <c r="I124" s="3405"/>
      <c r="J124" s="3406"/>
      <c r="K124" s="2629" t="s">
        <v>1716</v>
      </c>
      <c r="L124" s="3384"/>
      <c r="M124" s="3385"/>
      <c r="N124" s="3386"/>
      <c r="O124" s="2618" t="s">
        <v>3262</v>
      </c>
      <c r="Q124" s="3398"/>
      <c r="R124" s="3399"/>
      <c r="S124" s="3400"/>
      <c r="Z124" s="1773">
        <v>124</v>
      </c>
    </row>
    <row r="125" spans="1:26" s="289" customFormat="1" ht="11.25" hidden="1" customHeight="1">
      <c r="C125" s="291"/>
      <c r="D125" s="326"/>
      <c r="E125" s="2618" t="s">
        <v>6486</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2128</v>
      </c>
      <c r="J126" s="3261"/>
      <c r="K126" s="3262"/>
      <c r="L126" s="2629" t="s">
        <v>1894</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6613</v>
      </c>
      <c r="H128" s="3384"/>
      <c r="I128" s="3405"/>
      <c r="J128" s="3406"/>
      <c r="K128" s="2629" t="s">
        <v>1716</v>
      </c>
      <c r="L128" s="3384"/>
      <c r="M128" s="3385"/>
      <c r="N128" s="3386"/>
      <c r="O128" s="2618" t="s">
        <v>3262</v>
      </c>
      <c r="Q128" s="3398"/>
      <c r="R128" s="3399"/>
      <c r="S128" s="3400"/>
      <c r="Z128" s="1773">
        <v>128</v>
      </c>
    </row>
    <row r="129" spans="3:26" s="289" customFormat="1" ht="11.25" hidden="1" customHeight="1">
      <c r="C129" s="291"/>
      <c r="D129" s="326"/>
      <c r="E129" s="2618" t="s">
        <v>6486</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2128</v>
      </c>
      <c r="J130" s="3261"/>
      <c r="K130" s="3262"/>
      <c r="L130" s="2629" t="s">
        <v>1894</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6791</v>
      </c>
      <c r="H132" s="3384"/>
      <c r="I132" s="3405"/>
      <c r="J132" s="3406"/>
      <c r="K132" s="2629" t="s">
        <v>1716</v>
      </c>
      <c r="L132" s="3384"/>
      <c r="M132" s="3385"/>
      <c r="N132" s="3386"/>
      <c r="O132" s="2618" t="s">
        <v>3262</v>
      </c>
      <c r="Q132" s="3398"/>
      <c r="R132" s="3399"/>
      <c r="S132" s="3400"/>
      <c r="Z132" s="1773">
        <v>132</v>
      </c>
    </row>
    <row r="133" spans="3:26" s="289" customFormat="1" ht="11.25" hidden="1" customHeight="1">
      <c r="C133" s="291"/>
      <c r="D133" s="326"/>
      <c r="E133" s="2618" t="s">
        <v>6486</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2128</v>
      </c>
      <c r="J134" s="3261"/>
      <c r="K134" s="3262"/>
      <c r="L134" s="2629" t="s">
        <v>1894</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6792</v>
      </c>
      <c r="H136" s="3384"/>
      <c r="I136" s="3405"/>
      <c r="J136" s="3406"/>
      <c r="K136" s="2629" t="s">
        <v>1716</v>
      </c>
      <c r="L136" s="3384"/>
      <c r="M136" s="3385"/>
      <c r="N136" s="3386"/>
      <c r="O136" s="2618" t="s">
        <v>3262</v>
      </c>
      <c r="Q136" s="3398"/>
      <c r="R136" s="3399"/>
      <c r="S136" s="3400"/>
      <c r="Z136" s="1773">
        <v>136</v>
      </c>
    </row>
    <row r="137" spans="3:26" s="289" customFormat="1" ht="11.25" hidden="1" customHeight="1">
      <c r="C137" s="291"/>
      <c r="D137" s="326"/>
      <c r="E137" s="2618" t="s">
        <v>6486</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2128</v>
      </c>
      <c r="J138" s="3261"/>
      <c r="K138" s="3262"/>
      <c r="L138" s="2629" t="s">
        <v>1894</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6793</v>
      </c>
      <c r="H140" s="3384"/>
      <c r="I140" s="3405"/>
      <c r="J140" s="3406"/>
      <c r="K140" s="2629" t="s">
        <v>1716</v>
      </c>
      <c r="L140" s="3384"/>
      <c r="M140" s="3385"/>
      <c r="N140" s="3386"/>
      <c r="O140" s="2618" t="s">
        <v>3262</v>
      </c>
      <c r="Q140" s="3398"/>
      <c r="R140" s="3399"/>
      <c r="S140" s="3400"/>
      <c r="Z140" s="1773">
        <v>140</v>
      </c>
    </row>
    <row r="141" spans="3:26" s="289" customFormat="1" ht="11.25" hidden="1" customHeight="1">
      <c r="C141" s="291"/>
      <c r="D141" s="326"/>
      <c r="E141" s="2618" t="s">
        <v>6486</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2128</v>
      </c>
      <c r="J142" s="3261"/>
      <c r="K142" s="3262"/>
      <c r="L142" s="2629" t="s">
        <v>1894</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1898</v>
      </c>
      <c r="D144" s="289" t="s">
        <v>6778</v>
      </c>
      <c r="H144" s="3384"/>
      <c r="I144" s="3405"/>
      <c r="J144" s="3406"/>
      <c r="K144" s="2629" t="s">
        <v>1716</v>
      </c>
      <c r="L144" s="3384"/>
      <c r="M144" s="3385"/>
      <c r="N144" s="3386"/>
      <c r="O144" s="2618" t="s">
        <v>3262</v>
      </c>
      <c r="Q144" s="3398"/>
      <c r="R144" s="3399"/>
      <c r="S144" s="3400"/>
      <c r="Z144" s="1773">
        <v>144</v>
      </c>
    </row>
    <row r="145" spans="1:26" s="289" customFormat="1" ht="11.25" customHeight="1">
      <c r="C145" s="291"/>
      <c r="D145" s="326"/>
      <c r="E145" s="2618" t="s">
        <v>6486</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2128</v>
      </c>
      <c r="J146" s="3261"/>
      <c r="K146" s="3262"/>
      <c r="L146" s="2629" t="s">
        <v>1894</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2416</v>
      </c>
      <c r="D148" s="289" t="s">
        <v>6779</v>
      </c>
      <c r="H148" s="3384"/>
      <c r="I148" s="3405"/>
      <c r="J148" s="3406"/>
      <c r="K148" s="2629" t="s">
        <v>1716</v>
      </c>
      <c r="L148" s="3384"/>
      <c r="M148" s="3385"/>
      <c r="N148" s="3386"/>
      <c r="O148" s="2618" t="s">
        <v>3262</v>
      </c>
      <c r="Q148" s="3398"/>
      <c r="R148" s="3399"/>
      <c r="S148" s="3400"/>
      <c r="Z148" s="1773">
        <v>148</v>
      </c>
    </row>
    <row r="149" spans="1:26" s="289" customFormat="1" ht="11.25" customHeight="1">
      <c r="D149" s="326"/>
      <c r="E149" s="2618" t="s">
        <v>6486</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2128</v>
      </c>
      <c r="J150" s="3261"/>
      <c r="K150" s="3262"/>
      <c r="L150" s="2629" t="s">
        <v>1894</v>
      </c>
      <c r="M150" s="3178"/>
      <c r="N150" s="3179"/>
      <c r="O150" s="3179"/>
      <c r="P150" s="3179"/>
      <c r="Q150" s="3259"/>
      <c r="R150" s="3259"/>
      <c r="S150" s="3260"/>
      <c r="Z150" s="1773">
        <v>150</v>
      </c>
    </row>
    <row r="151" spans="1:26" ht="6" customHeight="1">
      <c r="Z151" s="1773">
        <v>151</v>
      </c>
    </row>
    <row r="152" spans="1:26" ht="12" customHeight="1">
      <c r="B152" s="291" t="s">
        <v>1895</v>
      </c>
      <c r="C152" s="291" t="s">
        <v>4061</v>
      </c>
      <c r="H152" s="1296"/>
      <c r="I152" s="1296"/>
      <c r="J152" s="1296"/>
      <c r="K152" s="1296"/>
      <c r="L152" s="1296"/>
      <c r="M152" s="1296"/>
      <c r="N152" s="1296"/>
      <c r="O152" s="1296"/>
      <c r="P152" s="1296"/>
      <c r="Q152" s="1296"/>
      <c r="R152" s="1296"/>
      <c r="S152" s="1296"/>
      <c r="Z152" s="1773">
        <v>152</v>
      </c>
    </row>
    <row r="153" spans="1:26" ht="13.5" thickBot="1">
      <c r="A153" s="3464" t="s">
        <v>3436</v>
      </c>
      <c r="B153" s="3464"/>
      <c r="C153" s="3464"/>
      <c r="D153" s="3464"/>
      <c r="E153" s="3464"/>
      <c r="H153" s="2762" t="s">
        <v>2392</v>
      </c>
      <c r="I153" s="3458" t="s">
        <v>6795</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2631</v>
      </c>
      <c r="E154" s="320"/>
      <c r="H154" s="2763" t="s">
        <v>2772</v>
      </c>
      <c r="I154" s="3374"/>
      <c r="J154" s="3375"/>
      <c r="K154" s="3375"/>
      <c r="L154" s="3375"/>
      <c r="M154" s="3375"/>
      <c r="N154" s="3375"/>
      <c r="O154" s="3375"/>
      <c r="P154" s="3375"/>
      <c r="Q154" s="3375"/>
      <c r="R154" s="3375"/>
      <c r="S154" s="3376"/>
      <c r="U154" s="3377" t="s">
        <v>1940</v>
      </c>
      <c r="V154" s="3377"/>
      <c r="Z154" s="1773">
        <v>154</v>
      </c>
    </row>
    <row r="155" spans="1:26" s="289" customFormat="1" ht="15" customHeight="1" thickBot="1">
      <c r="B155" s="550" t="s">
        <v>1898</v>
      </c>
      <c r="C155" s="469" t="s">
        <v>6484</v>
      </c>
      <c r="E155" s="320"/>
      <c r="H155" s="2763" t="s">
        <v>2772</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2670</v>
      </c>
      <c r="E156" s="320"/>
      <c r="H156" s="2763" t="s">
        <v>2772</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2632</v>
      </c>
      <c r="E157" s="320"/>
      <c r="H157" s="2763" t="s">
        <v>2772</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3195</v>
      </c>
      <c r="E158" s="320"/>
      <c r="H158" s="2763" t="s">
        <v>2772</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3196</v>
      </c>
      <c r="E159" s="320"/>
      <c r="H159" s="2763" t="s">
        <v>2769</v>
      </c>
      <c r="I159" s="3371" t="s">
        <v>6919</v>
      </c>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2633</v>
      </c>
      <c r="E160" s="320"/>
      <c r="H160" s="2763" t="s">
        <v>2772</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4073</v>
      </c>
      <c r="E161" s="320"/>
      <c r="H161" s="2763" t="s">
        <v>2772</v>
      </c>
      <c r="I161" s="3371"/>
      <c r="J161" s="3372"/>
      <c r="K161" s="3372"/>
      <c r="L161" s="3372"/>
      <c r="M161" s="3372"/>
      <c r="N161" s="3372"/>
      <c r="O161" s="3372"/>
      <c r="P161" s="3372"/>
      <c r="Q161" s="3372"/>
      <c r="R161" s="3372"/>
      <c r="S161" s="3373"/>
      <c r="Z161" s="1773">
        <v>161</v>
      </c>
    </row>
    <row r="162" spans="1:26" s="289" customFormat="1" ht="15" customHeight="1" thickBot="1">
      <c r="B162" s="550" t="s">
        <v>4072</v>
      </c>
      <c r="C162" s="3461" t="s">
        <v>6794</v>
      </c>
      <c r="D162" s="3462"/>
      <c r="E162" s="3462"/>
      <c r="F162" s="3462"/>
      <c r="G162" s="3463"/>
      <c r="H162" s="2763" t="s">
        <v>2769</v>
      </c>
      <c r="I162" s="3368" t="s">
        <v>6920</v>
      </c>
      <c r="J162" s="3369"/>
      <c r="K162" s="3369"/>
      <c r="L162" s="3369"/>
      <c r="M162" s="3369"/>
      <c r="N162" s="3369"/>
      <c r="O162" s="3369"/>
      <c r="P162" s="3369"/>
      <c r="Q162" s="3369"/>
      <c r="R162" s="3369"/>
      <c r="S162" s="337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4062</v>
      </c>
      <c r="Z165" s="1773">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6796</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3349</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201" t="s">
        <v>2694</v>
      </c>
      <c r="O170" s="3201"/>
      <c r="P170" s="3201"/>
      <c r="Q170" s="3201"/>
      <c r="R170" s="3201"/>
      <c r="S170" s="3457"/>
      <c r="Z170" s="1773">
        <v>170</v>
      </c>
    </row>
    <row r="171" spans="1:26" s="289" customFormat="1" ht="23.25" customHeight="1">
      <c r="A171" s="3423" t="s">
        <v>3179</v>
      </c>
      <c r="B171" s="3424"/>
      <c r="C171" s="3424"/>
      <c r="D171" s="3425"/>
      <c r="E171" s="3426"/>
      <c r="F171" s="3375"/>
      <c r="G171" s="3375"/>
      <c r="H171" s="3375"/>
      <c r="I171" s="2764" t="s">
        <v>2772</v>
      </c>
      <c r="J171" s="2765" t="s">
        <v>2772</v>
      </c>
      <c r="K171" s="2766" t="s">
        <v>6877</v>
      </c>
      <c r="L171" s="2767">
        <v>1E-4</v>
      </c>
      <c r="M171" s="2768" t="s">
        <v>2772</v>
      </c>
      <c r="N171" s="3427"/>
      <c r="O171" s="3375"/>
      <c r="P171" s="3375"/>
      <c r="Q171" s="3375"/>
      <c r="R171" s="3375"/>
      <c r="S171" s="3376"/>
      <c r="Z171" s="1773">
        <v>171</v>
      </c>
    </row>
    <row r="172" spans="1:26" s="289" customFormat="1" ht="23.25" customHeight="1">
      <c r="A172" s="3418" t="s">
        <v>3180</v>
      </c>
      <c r="B172" s="3419"/>
      <c r="C172" s="3419"/>
      <c r="D172" s="3420"/>
      <c r="E172" s="3421"/>
      <c r="F172" s="3372"/>
      <c r="G172" s="3372"/>
      <c r="H172" s="3372"/>
      <c r="I172" s="2769" t="s">
        <v>2772</v>
      </c>
      <c r="J172" s="2770" t="s">
        <v>2772</v>
      </c>
      <c r="K172" s="2771"/>
      <c r="L172" s="2772"/>
      <c r="M172" s="2773" t="s">
        <v>2772</v>
      </c>
      <c r="N172" s="3422"/>
      <c r="O172" s="3372"/>
      <c r="P172" s="3372"/>
      <c r="Q172" s="3372"/>
      <c r="R172" s="3372"/>
      <c r="S172" s="3373"/>
      <c r="U172" s="3377" t="s">
        <v>1940</v>
      </c>
      <c r="V172" s="3377"/>
      <c r="Z172" s="1773">
        <v>172</v>
      </c>
    </row>
    <row r="173" spans="1:26" s="289" customFormat="1" ht="23.25" customHeight="1">
      <c r="A173" s="3418" t="s">
        <v>3181</v>
      </c>
      <c r="B173" s="3419"/>
      <c r="C173" s="3419"/>
      <c r="D173" s="3420"/>
      <c r="E173" s="3421"/>
      <c r="F173" s="3372"/>
      <c r="G173" s="3372"/>
      <c r="H173" s="3372"/>
      <c r="I173" s="2769" t="s">
        <v>2772</v>
      </c>
      <c r="J173" s="2770" t="s">
        <v>2772</v>
      </c>
      <c r="K173" s="2771"/>
      <c r="L173" s="2772"/>
      <c r="M173" s="2773" t="s">
        <v>2772</v>
      </c>
      <c r="N173" s="3422"/>
      <c r="O173" s="3372"/>
      <c r="P173" s="3372"/>
      <c r="Q173" s="3372"/>
      <c r="R173" s="3372"/>
      <c r="S173" s="3373"/>
      <c r="U173" s="3377"/>
      <c r="V173" s="3377"/>
      <c r="Z173" s="1773">
        <v>173</v>
      </c>
    </row>
    <row r="174" spans="1:26" s="289" customFormat="1" ht="23.25" customHeight="1">
      <c r="A174" s="3418" t="s">
        <v>3182</v>
      </c>
      <c r="B174" s="3419"/>
      <c r="C174" s="3419"/>
      <c r="D174" s="3420"/>
      <c r="E174" s="3421"/>
      <c r="F174" s="3372"/>
      <c r="G174" s="3372"/>
      <c r="H174" s="3372"/>
      <c r="I174" s="2769" t="s">
        <v>2772</v>
      </c>
      <c r="J174" s="2770" t="s">
        <v>2772</v>
      </c>
      <c r="K174" s="2771" t="s">
        <v>6877</v>
      </c>
      <c r="L174" s="2772">
        <v>0.9899</v>
      </c>
      <c r="M174" s="2773" t="s">
        <v>2772</v>
      </c>
      <c r="N174" s="3422"/>
      <c r="O174" s="3372"/>
      <c r="P174" s="3372"/>
      <c r="Q174" s="3372"/>
      <c r="R174" s="3372"/>
      <c r="S174" s="3373"/>
      <c r="U174" s="3377"/>
      <c r="V174" s="3377"/>
      <c r="Z174" s="1773">
        <v>174</v>
      </c>
    </row>
    <row r="175" spans="1:26" s="289" customFormat="1" ht="23.25" customHeight="1">
      <c r="A175" s="3418" t="s">
        <v>3183</v>
      </c>
      <c r="B175" s="3419"/>
      <c r="C175" s="3419"/>
      <c r="D175" s="3420"/>
      <c r="E175" s="3421"/>
      <c r="F175" s="3372"/>
      <c r="G175" s="3372"/>
      <c r="H175" s="3372"/>
      <c r="I175" s="2769" t="s">
        <v>2772</v>
      </c>
      <c r="J175" s="2770" t="s">
        <v>2772</v>
      </c>
      <c r="K175" s="2771" t="s">
        <v>6877</v>
      </c>
      <c r="L175" s="2772">
        <v>0.01</v>
      </c>
      <c r="M175" s="2773" t="s">
        <v>2772</v>
      </c>
      <c r="N175" s="3422"/>
      <c r="O175" s="3372"/>
      <c r="P175" s="3372"/>
      <c r="Q175" s="3372"/>
      <c r="R175" s="3372"/>
      <c r="S175" s="3373"/>
      <c r="U175" s="3377"/>
      <c r="V175" s="3377"/>
      <c r="Z175" s="1773">
        <v>175</v>
      </c>
    </row>
    <row r="176" spans="1:26" s="289" customFormat="1" ht="23.25" customHeight="1">
      <c r="A176" s="3418" t="s">
        <v>2684</v>
      </c>
      <c r="B176" s="3419"/>
      <c r="C176" s="3419"/>
      <c r="D176" s="3420"/>
      <c r="E176" s="3421"/>
      <c r="F176" s="3372"/>
      <c r="G176" s="3372"/>
      <c r="H176" s="3372"/>
      <c r="I176" s="2769" t="s">
        <v>2772</v>
      </c>
      <c r="J176" s="2770" t="s">
        <v>2772</v>
      </c>
      <c r="K176" s="2771"/>
      <c r="L176" s="2772"/>
      <c r="M176" s="2773" t="s">
        <v>2772</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2772</v>
      </c>
      <c r="J177" s="2770" t="s">
        <v>2772</v>
      </c>
      <c r="K177" s="2771" t="s">
        <v>6877</v>
      </c>
      <c r="L177" s="2772">
        <v>0</v>
      </c>
      <c r="M177" s="2773" t="s">
        <v>2772</v>
      </c>
      <c r="N177" s="3422"/>
      <c r="O177" s="3372"/>
      <c r="P177" s="3372"/>
      <c r="Q177" s="3372"/>
      <c r="R177" s="3372"/>
      <c r="S177" s="3373"/>
      <c r="U177" s="3377"/>
      <c r="V177" s="3377"/>
      <c r="Z177" s="1773">
        <v>177</v>
      </c>
    </row>
    <row r="178" spans="1:26" s="289" customFormat="1" ht="23.25" customHeight="1">
      <c r="A178" s="3418" t="s">
        <v>2685</v>
      </c>
      <c r="B178" s="3419"/>
      <c r="C178" s="3419"/>
      <c r="D178" s="3420"/>
      <c r="E178" s="3421"/>
      <c r="F178" s="3372"/>
      <c r="G178" s="3372"/>
      <c r="H178" s="3372"/>
      <c r="I178" s="2769" t="s">
        <v>2772</v>
      </c>
      <c r="J178" s="2770" t="s">
        <v>2772</v>
      </c>
      <c r="K178" s="2771"/>
      <c r="L178" s="2772"/>
      <c r="M178" s="2773" t="s">
        <v>2772</v>
      </c>
      <c r="N178" s="3422"/>
      <c r="O178" s="3372"/>
      <c r="P178" s="3372"/>
      <c r="Q178" s="3372"/>
      <c r="R178" s="3372"/>
      <c r="S178" s="3373"/>
      <c r="Z178" s="1773">
        <v>178</v>
      </c>
    </row>
    <row r="179" spans="1:26" s="289" customFormat="1" ht="23.25" customHeight="1">
      <c r="A179" s="3418" t="s">
        <v>2686</v>
      </c>
      <c r="B179" s="3419"/>
      <c r="C179" s="3419"/>
      <c r="D179" s="3420"/>
      <c r="E179" s="3421"/>
      <c r="F179" s="3372"/>
      <c r="G179" s="3372"/>
      <c r="H179" s="3372"/>
      <c r="I179" s="2769" t="s">
        <v>2772</v>
      </c>
      <c r="J179" s="2770" t="s">
        <v>2772</v>
      </c>
      <c r="K179" s="2771"/>
      <c r="L179" s="2772"/>
      <c r="M179" s="2773" t="s">
        <v>2772</v>
      </c>
      <c r="N179" s="3422"/>
      <c r="O179" s="3372"/>
      <c r="P179" s="3372"/>
      <c r="Q179" s="3372"/>
      <c r="R179" s="3372"/>
      <c r="S179" s="3373"/>
      <c r="Z179" s="1773">
        <v>179</v>
      </c>
    </row>
    <row r="180" spans="1:26" s="289" customFormat="1" ht="23.25" customHeight="1">
      <c r="A180" s="3418" t="s">
        <v>2688</v>
      </c>
      <c r="B180" s="3419"/>
      <c r="C180" s="3419"/>
      <c r="D180" s="3420"/>
      <c r="E180" s="3421"/>
      <c r="F180" s="3372"/>
      <c r="G180" s="3372"/>
      <c r="H180" s="3372"/>
      <c r="I180" s="2769" t="s">
        <v>2772</v>
      </c>
      <c r="J180" s="2770" t="s">
        <v>2772</v>
      </c>
      <c r="K180" s="2771" t="s">
        <v>2480</v>
      </c>
      <c r="L180" s="2772">
        <v>0</v>
      </c>
      <c r="M180" s="2773" t="s">
        <v>2772</v>
      </c>
      <c r="N180" s="3422"/>
      <c r="O180" s="3372"/>
      <c r="P180" s="3372"/>
      <c r="Q180" s="3372"/>
      <c r="R180" s="3372"/>
      <c r="S180" s="3373"/>
      <c r="Z180" s="1773">
        <v>180</v>
      </c>
    </row>
    <row r="181" spans="1:26" s="289" customFormat="1" ht="23.25" customHeight="1">
      <c r="A181" s="3418" t="s">
        <v>2687</v>
      </c>
      <c r="B181" s="3419"/>
      <c r="C181" s="3419"/>
      <c r="D181" s="3420"/>
      <c r="E181" s="3421"/>
      <c r="F181" s="3372"/>
      <c r="G181" s="3372"/>
      <c r="H181" s="3372"/>
      <c r="I181" s="2769" t="s">
        <v>2772</v>
      </c>
      <c r="J181" s="2770" t="s">
        <v>2772</v>
      </c>
      <c r="K181" s="2771"/>
      <c r="L181" s="2772"/>
      <c r="M181" s="2773" t="s">
        <v>2772</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2772</v>
      </c>
      <c r="J182" s="2770" t="s">
        <v>2772</v>
      </c>
      <c r="K182" s="2771" t="s">
        <v>6877</v>
      </c>
      <c r="L182" s="2772">
        <v>0</v>
      </c>
      <c r="M182" s="2773" t="s">
        <v>2772</v>
      </c>
      <c r="N182" s="3422"/>
      <c r="O182" s="3372"/>
      <c r="P182" s="3372"/>
      <c r="Q182" s="3372"/>
      <c r="R182" s="3372"/>
      <c r="S182" s="3373"/>
      <c r="Z182" s="1773">
        <v>182</v>
      </c>
    </row>
    <row r="183" spans="1:26" s="289" customFormat="1" ht="23.25" customHeight="1">
      <c r="A183" s="3407" t="s">
        <v>2689</v>
      </c>
      <c r="B183" s="3408"/>
      <c r="C183" s="3408"/>
      <c r="D183" s="3409"/>
      <c r="E183" s="3410"/>
      <c r="F183" s="3369"/>
      <c r="G183" s="3369"/>
      <c r="H183" s="3369"/>
      <c r="I183" s="2774" t="s">
        <v>2772</v>
      </c>
      <c r="J183" s="2775" t="s">
        <v>2772</v>
      </c>
      <c r="K183" s="2776" t="s">
        <v>6877</v>
      </c>
      <c r="L183" s="2777">
        <v>0</v>
      </c>
      <c r="M183" s="2778" t="s">
        <v>2772</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7008</v>
      </c>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YwPycMlW37dH3mBA9Mzok+SXhuGpvpiVzIMg6bXtyZTKhpy4n+ai8U7hSSZRYyu76tFrp0+G+ECLrNnQSEVLMA==" saltValue="O4l+NeLN5pbvyjNoEsg05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2021-050 Sparrow Pointe, Rome, Floyd County</v>
      </c>
      <c r="B2" s="3393"/>
      <c r="C2" s="3393"/>
      <c r="D2" s="3393"/>
      <c r="E2" s="3393"/>
      <c r="F2" s="3393"/>
      <c r="G2" s="3393"/>
      <c r="H2" s="3393"/>
      <c r="I2" s="3393"/>
      <c r="J2" s="3393"/>
      <c r="K2" s="3393"/>
      <c r="L2" s="3393"/>
      <c r="M2" s="3393"/>
      <c r="N2" s="3393"/>
      <c r="O2" s="3393"/>
      <c r="P2" s="3393"/>
      <c r="Q2" s="3394"/>
      <c r="S2" s="3478" t="str">
        <f>$A$2</f>
        <v>PART THREE - SOURCES OF FUNDS (Proposed)  -  2021-050 Sparrow Pointe, Rome, Floyd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2537</v>
      </c>
      <c r="T5" s="3479"/>
      <c r="Y5" s="1807"/>
      <c r="Z5" s="1773">
        <v>5</v>
      </c>
      <c r="AZ5" s="2782"/>
    </row>
    <row r="6" spans="1:52" s="265" customFormat="1" ht="16.5" customHeight="1">
      <c r="A6" s="1711"/>
      <c r="B6" s="2692" t="s">
        <v>2769</v>
      </c>
      <c r="C6" s="266" t="s">
        <v>2300</v>
      </c>
      <c r="D6" s="289"/>
      <c r="E6" s="2692"/>
      <c r="F6" s="266" t="s">
        <v>6289</v>
      </c>
      <c r="G6" s="289"/>
      <c r="I6" s="3489"/>
      <c r="J6" s="3490"/>
      <c r="L6" s="2692"/>
      <c r="M6" s="266" t="s">
        <v>1475</v>
      </c>
      <c r="Q6" s="1692"/>
      <c r="S6" s="3480"/>
      <c r="T6" s="3481"/>
      <c r="Y6" s="1807"/>
      <c r="Z6" s="1773">
        <v>6</v>
      </c>
      <c r="AZ6" s="2782"/>
    </row>
    <row r="7" spans="1:52" s="265" customFormat="1" ht="16.5" customHeight="1">
      <c r="A7" s="1711"/>
      <c r="B7" s="2680"/>
      <c r="C7" s="266" t="s">
        <v>4057</v>
      </c>
      <c r="D7" s="289"/>
      <c r="E7" s="2693"/>
      <c r="F7" s="266" t="s">
        <v>6290</v>
      </c>
      <c r="I7" s="3491"/>
      <c r="J7" s="3492"/>
      <c r="L7" s="2680"/>
      <c r="M7" s="266" t="s">
        <v>523</v>
      </c>
      <c r="P7" s="1692"/>
      <c r="Q7" s="1692"/>
      <c r="S7" s="3482"/>
      <c r="T7" s="3483"/>
      <c r="Y7" s="1807"/>
      <c r="Z7" s="1773">
        <v>7</v>
      </c>
      <c r="AZ7" s="2782"/>
    </row>
    <row r="8" spans="1:52" s="265" customFormat="1" ht="16.5" customHeight="1">
      <c r="A8" s="289"/>
      <c r="B8" s="2680"/>
      <c r="C8" s="266" t="s">
        <v>524</v>
      </c>
      <c r="F8" s="265" t="s">
        <v>6291</v>
      </c>
      <c r="H8" s="3486" t="s">
        <v>3186</v>
      </c>
      <c r="I8" s="3487"/>
      <c r="J8" s="3488"/>
      <c r="L8" s="2680"/>
      <c r="M8" s="284" t="s">
        <v>3276</v>
      </c>
      <c r="P8" s="1692"/>
      <c r="Q8" s="1692"/>
      <c r="S8" s="3482"/>
      <c r="T8" s="3483"/>
      <c r="Y8" s="1807"/>
      <c r="Z8" s="1773">
        <v>8</v>
      </c>
      <c r="AZ8" s="2782"/>
    </row>
    <row r="9" spans="1:52" s="265" customFormat="1" ht="16.5" customHeight="1">
      <c r="A9" s="1711"/>
      <c r="B9" s="2680"/>
      <c r="C9" s="265" t="s">
        <v>3440</v>
      </c>
      <c r="E9" s="2783"/>
      <c r="F9" s="3493" t="s">
        <v>3923</v>
      </c>
      <c r="G9" s="3247"/>
      <c r="H9" s="3247"/>
      <c r="I9" s="3247"/>
      <c r="J9" s="3358"/>
      <c r="L9" s="2680"/>
      <c r="M9" s="284" t="s">
        <v>4058</v>
      </c>
      <c r="Q9" s="1692"/>
      <c r="S9" s="3484"/>
      <c r="T9" s="3485"/>
      <c r="Y9" s="1807"/>
      <c r="Z9" s="1773">
        <v>9</v>
      </c>
      <c r="AZ9" s="2782"/>
    </row>
    <row r="10" spans="1:52" s="265" customFormat="1" ht="16.5" customHeight="1">
      <c r="A10" s="1711"/>
      <c r="B10" s="2680"/>
      <c r="C10" s="266" t="s">
        <v>2481</v>
      </c>
      <c r="F10" s="3494" t="s">
        <v>3925</v>
      </c>
      <c r="G10" s="3495"/>
      <c r="H10" s="3495"/>
      <c r="I10" s="3495"/>
      <c r="J10" s="3496"/>
      <c r="L10" s="2680"/>
      <c r="M10" s="266" t="s">
        <v>3319</v>
      </c>
      <c r="P10" s="1692"/>
      <c r="Q10" s="1692"/>
      <c r="S10" s="3480"/>
      <c r="T10" s="3481"/>
      <c r="Y10" s="1807"/>
      <c r="Z10" s="1773">
        <v>10</v>
      </c>
      <c r="AZ10" s="2782"/>
    </row>
    <row r="11" spans="1:52" s="265" customFormat="1" ht="16.5" customHeight="1">
      <c r="A11" s="1711"/>
      <c r="B11" s="2680"/>
      <c r="C11" s="266" t="s">
        <v>2482</v>
      </c>
      <c r="E11" s="2783"/>
      <c r="F11" s="3493" t="s">
        <v>3924</v>
      </c>
      <c r="G11" s="3247"/>
      <c r="H11" s="3247"/>
      <c r="I11" s="3247"/>
      <c r="J11" s="3358"/>
      <c r="L11" s="2680"/>
      <c r="M11" s="265" t="s">
        <v>2486</v>
      </c>
      <c r="S11" s="3482"/>
      <c r="T11" s="3483"/>
      <c r="Y11" s="1807"/>
      <c r="Z11" s="1773">
        <v>11</v>
      </c>
      <c r="AZ11" s="2782"/>
    </row>
    <row r="12" spans="1:52" s="265" customFormat="1" ht="16.5" customHeight="1">
      <c r="A12" s="1711"/>
      <c r="B12" s="2680"/>
      <c r="C12" s="284" t="s">
        <v>3322</v>
      </c>
      <c r="F12" s="3494" t="s">
        <v>3926</v>
      </c>
      <c r="G12" s="3495"/>
      <c r="H12" s="3495"/>
      <c r="I12" s="3495"/>
      <c r="J12" s="3496"/>
      <c r="L12" s="2680"/>
      <c r="M12" s="265" t="s">
        <v>3352</v>
      </c>
      <c r="S12" s="3482"/>
      <c r="T12" s="3483"/>
      <c r="Y12" s="1807"/>
      <c r="Z12" s="1773">
        <v>12</v>
      </c>
      <c r="AZ12" s="2782"/>
    </row>
    <row r="13" spans="1:52" s="265" customFormat="1" ht="16.5" customHeight="1">
      <c r="A13" s="1711"/>
      <c r="B13" s="2680"/>
      <c r="C13" s="284" t="s">
        <v>2485</v>
      </c>
      <c r="E13" s="2692"/>
      <c r="F13" s="284" t="s">
        <v>3351</v>
      </c>
      <c r="H13" s="3486" t="s">
        <v>3430</v>
      </c>
      <c r="I13" s="3487"/>
      <c r="J13" s="3488"/>
      <c r="L13" s="2680"/>
      <c r="M13" s="265" t="s">
        <v>6288</v>
      </c>
      <c r="S13" s="3482"/>
      <c r="T13" s="3483"/>
      <c r="Y13" s="1807"/>
      <c r="Z13" s="1773">
        <v>13</v>
      </c>
      <c r="AZ13" s="2782"/>
    </row>
    <row r="14" spans="1:52" s="265" customFormat="1" ht="16.5" customHeight="1">
      <c r="A14" s="1711"/>
      <c r="B14" s="2680"/>
      <c r="C14" s="265" t="s">
        <v>2484</v>
      </c>
      <c r="E14" s="2680"/>
      <c r="F14" s="284" t="s">
        <v>3439</v>
      </c>
      <c r="L14" s="2680"/>
      <c r="M14" s="265" t="s">
        <v>6535</v>
      </c>
      <c r="S14" s="3484"/>
      <c r="T14" s="3485"/>
      <c r="Y14" s="1807"/>
      <c r="Z14" s="1773">
        <v>14</v>
      </c>
      <c r="AZ14" s="2782"/>
    </row>
    <row r="15" spans="1:52" s="265" customFormat="1" ht="16.5" customHeight="1">
      <c r="A15" s="1711"/>
      <c r="B15" s="2680"/>
      <c r="C15" s="265" t="s">
        <v>3350</v>
      </c>
      <c r="E15" s="2680"/>
      <c r="F15" s="284" t="s">
        <v>6292</v>
      </c>
      <c r="L15" s="2680"/>
      <c r="M15" s="1693" t="s">
        <v>6293</v>
      </c>
      <c r="Y15" s="1807"/>
      <c r="Z15" s="1773">
        <v>15</v>
      </c>
      <c r="AZ15" s="2782"/>
    </row>
    <row r="16" spans="1:52" s="265" customFormat="1" ht="16.5" customHeight="1">
      <c r="A16" s="1711"/>
      <c r="B16" s="2693"/>
      <c r="C16" s="266" t="s">
        <v>1720</v>
      </c>
      <c r="E16" s="2693"/>
      <c r="F16" s="266" t="s">
        <v>6836</v>
      </c>
      <c r="I16" s="3465"/>
      <c r="J16" s="3466"/>
      <c r="L16" s="2693"/>
      <c r="M16" s="1693" t="s">
        <v>6287</v>
      </c>
      <c r="Y16" s="1807"/>
      <c r="Z16" s="1773">
        <v>16</v>
      </c>
      <c r="AZ16" s="2782"/>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8" t="s">
        <v>1249</v>
      </c>
      <c r="I21" s="3468"/>
      <c r="J21" s="3468"/>
      <c r="K21" s="3468"/>
      <c r="L21" s="3202" t="s">
        <v>4022</v>
      </c>
      <c r="M21" s="3202"/>
      <c r="N21" s="3202" t="s">
        <v>1446</v>
      </c>
      <c r="O21" s="3202"/>
      <c r="P21" s="3202" t="s">
        <v>1564</v>
      </c>
      <c r="Q21" s="3202"/>
      <c r="S21" s="3479" t="s">
        <v>2537</v>
      </c>
      <c r="T21" s="3479"/>
      <c r="Y21" s="1807"/>
      <c r="Z21" s="1773">
        <v>21</v>
      </c>
      <c r="AZ21" s="2782" t="s">
        <v>6652</v>
      </c>
    </row>
    <row r="22" spans="1:52" s="265" customFormat="1" ht="15.75" customHeight="1">
      <c r="A22" s="289"/>
      <c r="B22" s="3500" t="s">
        <v>1525</v>
      </c>
      <c r="C22" s="3501"/>
      <c r="D22" s="3501"/>
      <c r="E22" s="2632"/>
      <c r="F22" s="2632"/>
      <c r="G22" s="2632"/>
      <c r="H22" s="3502" t="s">
        <v>6921</v>
      </c>
      <c r="I22" s="3503"/>
      <c r="J22" s="3503"/>
      <c r="K22" s="3504"/>
      <c r="L22" s="3505">
        <v>8595508</v>
      </c>
      <c r="M22" s="3506"/>
      <c r="N22" s="3507">
        <v>5.2499999999999998E-2</v>
      </c>
      <c r="O22" s="3508"/>
      <c r="P22" s="3509">
        <v>18</v>
      </c>
      <c r="Q22" s="3510"/>
      <c r="S22" s="3480"/>
      <c r="T22" s="3481"/>
      <c r="Y22" s="1807" t="s">
        <v>6652</v>
      </c>
      <c r="Z22" s="1773">
        <v>22</v>
      </c>
      <c r="AZ22" s="2782" t="s">
        <v>6653</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6653</v>
      </c>
      <c r="Z23" s="1773">
        <v>23</v>
      </c>
      <c r="AZ23" s="2782" t="s">
        <v>6654</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6654</v>
      </c>
      <c r="Z24" s="1773">
        <v>24</v>
      </c>
      <c r="AZ24" s="2782" t="s">
        <v>6655</v>
      </c>
    </row>
    <row r="25" spans="1:52" s="265" customFormat="1" ht="15.75" customHeight="1">
      <c r="A25" s="289"/>
      <c r="B25" s="3500" t="s">
        <v>2114</v>
      </c>
      <c r="C25" s="3501"/>
      <c r="D25" s="3501"/>
      <c r="E25" s="2627"/>
      <c r="F25" s="2627"/>
      <c r="G25" s="2627"/>
      <c r="H25" s="3518"/>
      <c r="I25" s="3519"/>
      <c r="J25" s="3519"/>
      <c r="K25" s="3520"/>
      <c r="L25" s="3521"/>
      <c r="M25" s="3522"/>
      <c r="N25" s="3523"/>
      <c r="O25" s="3524"/>
      <c r="P25" s="3525"/>
      <c r="Q25" s="3525"/>
      <c r="S25" s="3482"/>
      <c r="T25" s="3483"/>
      <c r="Y25" s="1807" t="s">
        <v>6655</v>
      </c>
      <c r="Z25" s="1773">
        <v>25</v>
      </c>
      <c r="AZ25" s="2782" t="s">
        <v>6656</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6656</v>
      </c>
      <c r="Z26" s="1773">
        <v>26</v>
      </c>
      <c r="AZ26" s="2782" t="s">
        <v>6657</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6657</v>
      </c>
      <c r="Z27" s="1773">
        <v>27</v>
      </c>
      <c r="AZ27" s="2782" t="s">
        <v>6658</v>
      </c>
    </row>
    <row r="28" spans="1:52" s="265" customFormat="1" ht="15.75" customHeight="1">
      <c r="A28" s="289"/>
      <c r="B28" s="3511" t="s">
        <v>769</v>
      </c>
      <c r="C28" s="3512"/>
      <c r="D28" s="3512"/>
      <c r="E28" s="2627"/>
      <c r="H28" s="3513" t="s">
        <v>6882</v>
      </c>
      <c r="I28" s="3514"/>
      <c r="J28" s="3514"/>
      <c r="K28" s="3515"/>
      <c r="L28" s="3516">
        <v>1680978</v>
      </c>
      <c r="M28" s="3517"/>
      <c r="N28" s="289"/>
      <c r="Q28" s="289"/>
      <c r="S28" s="3484"/>
      <c r="T28" s="3485"/>
      <c r="Y28" s="1807" t="s">
        <v>6658</v>
      </c>
      <c r="Z28" s="1773">
        <v>28</v>
      </c>
      <c r="AZ28" s="2782" t="s">
        <v>6659</v>
      </c>
    </row>
    <row r="29" spans="1:52" s="265" customFormat="1" ht="15.75" customHeight="1">
      <c r="A29" s="289"/>
      <c r="B29" s="3511" t="s">
        <v>770</v>
      </c>
      <c r="C29" s="3512"/>
      <c r="D29" s="3512"/>
      <c r="E29" s="2627"/>
      <c r="H29" s="3513" t="s">
        <v>6882</v>
      </c>
      <c r="I29" s="3514"/>
      <c r="J29" s="3514"/>
      <c r="K29" s="3515"/>
      <c r="L29" s="3516">
        <v>796124</v>
      </c>
      <c r="M29" s="3517"/>
      <c r="N29" s="289"/>
      <c r="Q29" s="289"/>
      <c r="S29" s="3480"/>
      <c r="T29" s="3481"/>
      <c r="Y29" s="1807" t="s">
        <v>6659</v>
      </c>
      <c r="Z29" s="1773">
        <v>29</v>
      </c>
      <c r="AZ29" s="2782" t="s">
        <v>6660</v>
      </c>
    </row>
    <row r="30" spans="1:52" s="265" customFormat="1" ht="15.75" customHeight="1">
      <c r="A30" s="289"/>
      <c r="B30" s="2626" t="s">
        <v>231</v>
      </c>
      <c r="C30" s="2627"/>
      <c r="D30" s="3532" t="s">
        <v>6922</v>
      </c>
      <c r="E30" s="3532"/>
      <c r="F30" s="3532"/>
      <c r="G30" s="3532"/>
      <c r="H30" s="3513"/>
      <c r="I30" s="3514"/>
      <c r="J30" s="3514"/>
      <c r="K30" s="3515"/>
      <c r="L30" s="3516">
        <v>110</v>
      </c>
      <c r="M30" s="3517"/>
      <c r="N30" s="289"/>
      <c r="Q30" s="289"/>
      <c r="S30" s="3482"/>
      <c r="T30" s="3483"/>
      <c r="Y30" s="1807" t="s">
        <v>6660</v>
      </c>
      <c r="Z30" s="1773">
        <v>30</v>
      </c>
      <c r="AZ30" s="2782" t="s">
        <v>6661</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6661</v>
      </c>
      <c r="Z31" s="1773">
        <v>31</v>
      </c>
      <c r="AZ31" s="2782" t="s">
        <v>6662</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6662</v>
      </c>
      <c r="Z32" s="1773">
        <v>32</v>
      </c>
      <c r="AZ32" s="2782"/>
    </row>
    <row r="33" spans="1:52" s="265" customFormat="1" ht="16.5" customHeight="1">
      <c r="A33" s="289"/>
      <c r="B33" s="1662" t="s">
        <v>1250</v>
      </c>
      <c r="C33" s="289"/>
      <c r="D33" s="289"/>
      <c r="E33" s="289"/>
      <c r="F33" s="289"/>
      <c r="G33" s="289"/>
      <c r="H33" s="289"/>
      <c r="I33" s="289"/>
      <c r="L33" s="3535">
        <f>SUM(L22:L32)</f>
        <v>11072720</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11072720</v>
      </c>
      <c r="M34" s="3538"/>
      <c r="N34" s="752"/>
      <c r="S34" s="3482"/>
      <c r="T34" s="3483"/>
      <c r="Y34" s="1807"/>
      <c r="Z34" s="1773">
        <v>34</v>
      </c>
      <c r="AZ34" s="2782"/>
    </row>
    <row r="35" spans="1:52" s="265" customFormat="1" ht="16.5" customHeight="1">
      <c r="A35" s="289"/>
      <c r="B35" s="2618" t="s">
        <v>2063</v>
      </c>
      <c r="C35" s="289"/>
      <c r="D35" s="289"/>
      <c r="E35" s="289"/>
      <c r="F35" s="289"/>
      <c r="G35" s="289"/>
      <c r="H35" s="289"/>
      <c r="I35" s="289"/>
      <c r="L35" s="3539">
        <f>L33-L34</f>
        <v>0</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2007</v>
      </c>
      <c r="L38" s="2629" t="s">
        <v>1247</v>
      </c>
      <c r="M38" s="2629" t="s">
        <v>1252</v>
      </c>
      <c r="P38" s="3541" t="s">
        <v>31</v>
      </c>
      <c r="Q38" s="3541"/>
      <c r="S38" s="332"/>
      <c r="Y38" s="1807"/>
      <c r="Z38" s="1773">
        <v>38</v>
      </c>
      <c r="AZ38" s="2782"/>
    </row>
    <row r="39" spans="1:52" s="265" customFormat="1" ht="13.35" customHeight="1">
      <c r="A39" s="289"/>
      <c r="B39" s="2636" t="s">
        <v>1784</v>
      </c>
      <c r="C39" s="2634"/>
      <c r="D39" s="2634"/>
      <c r="E39" s="3214" t="s">
        <v>1249</v>
      </c>
      <c r="F39" s="3214"/>
      <c r="G39" s="3214"/>
      <c r="H39" s="3214"/>
      <c r="I39" s="3202" t="s">
        <v>4021</v>
      </c>
      <c r="J39" s="3202"/>
      <c r="K39" s="2622" t="s">
        <v>1722</v>
      </c>
      <c r="L39" s="2622" t="s">
        <v>2113</v>
      </c>
      <c r="M39" s="2622" t="s">
        <v>2113</v>
      </c>
      <c r="N39" s="3202" t="s">
        <v>69</v>
      </c>
      <c r="O39" s="3202"/>
      <c r="P39" s="3299"/>
      <c r="Q39" s="3299"/>
      <c r="S39" s="3479" t="s">
        <v>2537</v>
      </c>
      <c r="T39" s="3479"/>
      <c r="Y39" s="1807"/>
      <c r="Z39" s="1773">
        <v>39</v>
      </c>
      <c r="AZ39" s="2782" t="s">
        <v>6663</v>
      </c>
    </row>
    <row r="40" spans="1:52" s="265" customFormat="1" ht="15.75" customHeight="1">
      <c r="A40" s="289"/>
      <c r="B40" s="3500" t="s">
        <v>2490</v>
      </c>
      <c r="C40" s="3501"/>
      <c r="D40" s="3501"/>
      <c r="E40" s="3502"/>
      <c r="F40" s="3503"/>
      <c r="G40" s="3503"/>
      <c r="H40" s="3504"/>
      <c r="I40" s="3563"/>
      <c r="J40" s="3564"/>
      <c r="K40" s="2787"/>
      <c r="L40" s="2691"/>
      <c r="M40" s="2691"/>
      <c r="N40" s="3546"/>
      <c r="O40" s="3546"/>
      <c r="P40" s="3562" t="str">
        <f>IF(OR(I40&lt;=0,I40=""),"",IF(N40="Cash Flow",0,IF(N40="Amortizing",-PMT(K40/12,M40*12,I40,0,0)*12,"")))</f>
        <v/>
      </c>
      <c r="Q40" s="3562"/>
      <c r="S40" s="3480"/>
      <c r="T40" s="3481"/>
      <c r="Y40" s="1807" t="s">
        <v>6663</v>
      </c>
      <c r="Z40" s="1773">
        <v>40</v>
      </c>
      <c r="AZ40" s="2782" t="s">
        <v>6664</v>
      </c>
    </row>
    <row r="41" spans="1:52" s="265" customFormat="1" ht="15.75" customHeight="1">
      <c r="A41" s="289"/>
      <c r="B41" s="3511" t="s">
        <v>2491</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6664</v>
      </c>
      <c r="Z41" s="1773">
        <v>41</v>
      </c>
      <c r="AZ41" s="2782" t="s">
        <v>6665</v>
      </c>
    </row>
    <row r="42" spans="1:52" s="265" customFormat="1" ht="15.75" customHeight="1">
      <c r="A42" s="289"/>
      <c r="B42" s="3511" t="s">
        <v>2492</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6665</v>
      </c>
      <c r="Z42" s="1773">
        <v>42</v>
      </c>
      <c r="AZ42" s="2782" t="s">
        <v>6666</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6666</v>
      </c>
      <c r="Z43" s="1773">
        <v>43</v>
      </c>
      <c r="AZ43" s="2782" t="s">
        <v>6667</v>
      </c>
    </row>
    <row r="44" spans="1:52" s="265" customFormat="1" ht="15.75" customHeight="1">
      <c r="A44" s="289"/>
      <c r="B44" s="2626" t="s">
        <v>4143</v>
      </c>
      <c r="C44" s="2627"/>
      <c r="D44" s="2628"/>
      <c r="E44" s="3513"/>
      <c r="F44" s="3514"/>
      <c r="G44" s="3514"/>
      <c r="H44" s="3515"/>
      <c r="I44" s="3543"/>
      <c r="J44" s="3544"/>
      <c r="K44" s="437"/>
      <c r="L44" s="2625"/>
      <c r="M44" s="2625"/>
      <c r="N44" s="3577"/>
      <c r="O44" s="3577"/>
      <c r="P44" s="3576"/>
      <c r="Q44" s="3576"/>
      <c r="S44" s="3482"/>
      <c r="T44" s="3483"/>
      <c r="Y44" s="1807" t="s">
        <v>6667</v>
      </c>
      <c r="Z44" s="1773">
        <v>44</v>
      </c>
      <c r="AZ44" s="2782" t="s">
        <v>6668</v>
      </c>
    </row>
    <row r="45" spans="1:52" s="265" customFormat="1" ht="15.75" customHeight="1">
      <c r="A45" s="289"/>
      <c r="B45" s="2633" t="s">
        <v>219</v>
      </c>
      <c r="C45" s="2634"/>
      <c r="D45" s="358">
        <f>IF(OR(I45="",I45=0,'Part IV-A-Uses of Funds'!$G$127="",'Part IV-A-Uses of Funds'!$G$127=0),"",I45/'Part IV-A-Uses of Funds'!$G$127)</f>
        <v>1.4291666666666667E-3</v>
      </c>
      <c r="E45" s="3469" t="s">
        <v>6854</v>
      </c>
      <c r="F45" s="3470"/>
      <c r="G45" s="3470"/>
      <c r="H45" s="3471"/>
      <c r="I45" s="3547">
        <v>1715</v>
      </c>
      <c r="J45" s="3548"/>
      <c r="K45" s="2790">
        <v>0</v>
      </c>
      <c r="L45" s="2679">
        <v>15</v>
      </c>
      <c r="M45" s="2679"/>
      <c r="N45" s="3551" t="s">
        <v>1122</v>
      </c>
      <c r="O45" s="3552"/>
      <c r="P45" s="3549">
        <f>IF(OR(I45&lt;=0,I45=""),"",IF(N45="Cash Flow",0,IF(N45="Amortizing",-PMT(K45/12,M45*12,I45,0,0)*12,"")))</f>
        <v>0</v>
      </c>
      <c r="Q45" s="3550"/>
      <c r="S45" s="3482"/>
      <c r="T45" s="3483"/>
      <c r="Y45" s="1807" t="s">
        <v>6668</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3558</v>
      </c>
      <c r="C47" s="2627"/>
      <c r="E47" s="265" t="s">
        <v>3511</v>
      </c>
      <c r="F47" s="3560">
        <f>IF(OR($I$45="",$I$45=0,'Part VII-Pro Forma'!$S$35=0,'Part VII-Pro Forma'!$S$35=""),"",VLOOKUP($L$45,'Part VII-Pro Forma'!$Q$21:$S$40,3))</f>
        <v>736381.49923383084</v>
      </c>
      <c r="G47" s="3561"/>
      <c r="H47" s="552" t="s">
        <v>3557</v>
      </c>
      <c r="I47" s="3560">
        <f>IF(OR($I$45="",$I$45=0,'Part VII-Pro Forma'!$R$35=0,'Part VII-Pro Forma'!$R$35=""),"",VLOOKUP($L$45,'Part VII-Pro Forma'!$Q$21:$S$35,2))</f>
        <v>1715</v>
      </c>
      <c r="J47" s="3561"/>
      <c r="K47" s="552" t="s">
        <v>3559</v>
      </c>
      <c r="L47" s="3558">
        <f>IF(OR($F$47 = 0,$F$47 =""),"",$I$47/$F$47)</f>
        <v>2.3289558493584835E-3</v>
      </c>
      <c r="M47" s="3559"/>
      <c r="N47" s="3583" t="s">
        <v>4028</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6669</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07" t="s">
        <v>6669</v>
      </c>
      <c r="Z49" s="1773">
        <v>49</v>
      </c>
      <c r="AZ49" s="2782" t="s">
        <v>6670</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07" t="s">
        <v>6670</v>
      </c>
      <c r="Z50" s="1773">
        <v>50</v>
      </c>
      <c r="AZ50" s="2782" t="s">
        <v>6671</v>
      </c>
    </row>
    <row r="51" spans="1:52" s="265" customFormat="1" ht="15.75" customHeight="1">
      <c r="A51" s="289"/>
      <c r="B51" s="3511" t="s">
        <v>769</v>
      </c>
      <c r="C51" s="3512"/>
      <c r="D51" s="3553"/>
      <c r="E51" s="3513" t="s">
        <v>6882</v>
      </c>
      <c r="F51" s="3514"/>
      <c r="G51" s="3514"/>
      <c r="H51" s="3515"/>
      <c r="I51" s="3543">
        <v>8404894</v>
      </c>
      <c r="J51" s="3543"/>
      <c r="L51" s="3556">
        <f>'Part IV-A-Uses of Funds'!$J$197*10*'Part IV-A-Uses of Funds'!$N$188</f>
        <v>8490650</v>
      </c>
      <c r="M51" s="3556"/>
      <c r="N51" s="3557">
        <f>I51-L51</f>
        <v>-85756</v>
      </c>
      <c r="O51" s="3557"/>
      <c r="P51" s="391">
        <f>I51/I61</f>
        <v>0.6785069848755213</v>
      </c>
      <c r="Q51" s="359"/>
      <c r="S51" s="3482"/>
      <c r="T51" s="3483"/>
      <c r="Y51" s="1807" t="s">
        <v>6671</v>
      </c>
      <c r="Z51" s="1773">
        <v>51</v>
      </c>
      <c r="AZ51" s="2782" t="s">
        <v>6672</v>
      </c>
    </row>
    <row r="52" spans="1:52" s="265" customFormat="1" ht="15.75" customHeight="1">
      <c r="A52" s="289"/>
      <c r="B52" s="3511" t="s">
        <v>770</v>
      </c>
      <c r="C52" s="3512"/>
      <c r="D52" s="3553"/>
      <c r="E52" s="3513" t="s">
        <v>6882</v>
      </c>
      <c r="F52" s="3514"/>
      <c r="G52" s="3514"/>
      <c r="H52" s="3515"/>
      <c r="I52" s="3543">
        <v>3980617</v>
      </c>
      <c r="J52" s="3543"/>
      <c r="L52" s="3556">
        <f>'Part IV-A-Uses of Funds'!$J$197*10*'Part IV-A-Uses of Funds'!$Q$188</f>
        <v>3895710</v>
      </c>
      <c r="M52" s="3556"/>
      <c r="N52" s="3557">
        <f>I52-L52</f>
        <v>84907</v>
      </c>
      <c r="O52" s="3557"/>
      <c r="P52" s="391">
        <f>I52/I61</f>
        <v>0.32134568724058182</v>
      </c>
      <c r="Q52" s="359"/>
      <c r="S52" s="3482"/>
      <c r="T52" s="3483"/>
      <c r="Y52" s="1807" t="s">
        <v>6672</v>
      </c>
      <c r="Z52" s="1773">
        <v>52</v>
      </c>
      <c r="AZ52" s="2782" t="s">
        <v>6673</v>
      </c>
    </row>
    <row r="53" spans="1:52" s="265" customFormat="1" ht="15.75" customHeight="1">
      <c r="A53" s="289"/>
      <c r="B53" s="3511" t="s">
        <v>1360</v>
      </c>
      <c r="C53" s="3512"/>
      <c r="D53" s="3553"/>
      <c r="E53" s="3513"/>
      <c r="F53" s="3514"/>
      <c r="G53" s="3514"/>
      <c r="H53" s="3515"/>
      <c r="I53" s="3543"/>
      <c r="J53" s="3543"/>
      <c r="P53" s="392">
        <f>SUM(P51:P52)</f>
        <v>0.99985267211610318</v>
      </c>
      <c r="Q53" s="359"/>
      <c r="S53" s="3484"/>
      <c r="T53" s="3485"/>
      <c r="Y53" s="1807" t="s">
        <v>6673</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1782</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1783</v>
      </c>
      <c r="C56" s="2627"/>
      <c r="D56" s="2628"/>
      <c r="E56" s="3513"/>
      <c r="F56" s="3514"/>
      <c r="G56" s="3514"/>
      <c r="H56" s="3515"/>
      <c r="I56" s="3543"/>
      <c r="J56" s="3543"/>
      <c r="M56" s="360"/>
      <c r="N56" s="360"/>
      <c r="O56" s="360"/>
      <c r="P56" s="360"/>
      <c r="Q56" s="359"/>
      <c r="S56" s="3482"/>
      <c r="T56" s="3483"/>
      <c r="Y56" s="1807"/>
      <c r="Z56" s="1773">
        <v>56</v>
      </c>
      <c r="AZ56" s="2782" t="s">
        <v>6674</v>
      </c>
    </row>
    <row r="57" spans="1:52" s="265" customFormat="1" ht="15.75" customHeight="1">
      <c r="A57" s="289"/>
      <c r="B57" s="2626" t="s">
        <v>711</v>
      </c>
      <c r="C57" s="3532" t="s">
        <v>6922</v>
      </c>
      <c r="D57" s="3532"/>
      <c r="E57" s="3513"/>
      <c r="F57" s="3514"/>
      <c r="G57" s="3514"/>
      <c r="H57" s="3515"/>
      <c r="I57" s="3543">
        <v>110</v>
      </c>
      <c r="J57" s="3543"/>
      <c r="M57" s="360"/>
      <c r="N57" s="360"/>
      <c r="O57" s="360"/>
      <c r="P57" s="360"/>
      <c r="Q57" s="359"/>
      <c r="S57" s="3482"/>
      <c r="T57" s="3483"/>
      <c r="Y57" s="1807" t="s">
        <v>6674</v>
      </c>
      <c r="Z57" s="1773">
        <v>57</v>
      </c>
      <c r="AZ57" s="2782" t="s">
        <v>6675</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6675</v>
      </c>
      <c r="Z58" s="1773">
        <v>58</v>
      </c>
      <c r="AZ58" s="2782" t="s">
        <v>6676</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6676</v>
      </c>
      <c r="Z59" s="1773">
        <v>59</v>
      </c>
      <c r="AZ59" s="2782"/>
    </row>
    <row r="60" spans="1:52" s="265" customFormat="1" ht="14.25" customHeight="1">
      <c r="A60" s="289"/>
      <c r="B60" s="2620" t="s">
        <v>2115</v>
      </c>
      <c r="C60" s="289"/>
      <c r="D60" s="289"/>
      <c r="E60" s="289"/>
      <c r="F60" s="289"/>
      <c r="G60" s="289"/>
      <c r="I60" s="3586">
        <f>SUM(I40:J45)+SUM(I49:J59)</f>
        <v>12387336</v>
      </c>
      <c r="J60" s="3587"/>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588">
        <f>'Part IV-A-Uses of Funds'!$G$146</f>
        <v>12387336</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4144</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7009</v>
      </c>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B2OOHUwSuL/zrzh0juXzbDTVjKj1w9P9JD8CQhhcWRMv05XTUkLNRmvrfZHdnH3rZPehOsMidyGjsE99+MA6TA==" saltValue="N3spjwwV3gEJp2pz6hGwa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2021-050 Sparrow Pointe, Rome, Floyd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2021-050 Sparrow Pointe, Rome, Floyd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5">
        <v>8000</v>
      </c>
      <c r="H9" s="3506"/>
      <c r="J9" s="3505">
        <v>8000</v>
      </c>
      <c r="K9" s="3506"/>
      <c r="L9" s="2641"/>
      <c r="M9" s="3505"/>
      <c r="N9" s="3506"/>
      <c r="P9" s="3505"/>
      <c r="Q9" s="3506"/>
      <c r="S9" s="3505"/>
      <c r="T9" s="3506"/>
      <c r="V9" s="2799"/>
      <c r="W9" s="3632"/>
      <c r="X9" s="3633"/>
      <c r="AZ9" s="1808"/>
      <c r="BA9" s="1773">
        <v>9</v>
      </c>
    </row>
    <row r="10" spans="1:53" s="289" customFormat="1" ht="11.25" customHeight="1">
      <c r="B10" s="289" t="s">
        <v>437</v>
      </c>
      <c r="G10" s="3516">
        <v>10000</v>
      </c>
      <c r="H10" s="3517"/>
      <c r="J10" s="3516">
        <v>10000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15000</v>
      </c>
      <c r="H11" s="3517"/>
      <c r="J11" s="3516">
        <v>15000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10000</v>
      </c>
      <c r="H12" s="3517"/>
      <c r="J12" s="3516">
        <v>10000</v>
      </c>
      <c r="K12" s="3517"/>
      <c r="L12" s="2641"/>
      <c r="M12" s="3516"/>
      <c r="N12" s="3517"/>
      <c r="P12" s="3516"/>
      <c r="Q12" s="3517"/>
      <c r="S12" s="3516"/>
      <c r="T12" s="3517"/>
      <c r="V12" s="2799"/>
      <c r="W12" s="3632"/>
      <c r="X12" s="3633"/>
      <c r="AZ12" s="1808"/>
      <c r="BA12" s="1773">
        <v>12</v>
      </c>
    </row>
    <row r="13" spans="1:53" s="289" customFormat="1" ht="11.25" customHeight="1">
      <c r="B13" s="289" t="s">
        <v>2385</v>
      </c>
      <c r="G13" s="3516">
        <v>15000</v>
      </c>
      <c r="H13" s="3517"/>
      <c r="J13" s="3516">
        <v>15000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6576</v>
      </c>
      <c r="C15" s="3668" t="s">
        <v>3343</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6677</v>
      </c>
      <c r="BA15" s="1773">
        <v>15</v>
      </c>
    </row>
    <row r="16" spans="1:53" s="289" customFormat="1" ht="11.25" customHeight="1">
      <c r="A16" s="363" t="str">
        <f>IF(AND(G16&gt;0,OR(C16="",C16="&lt;Enter detailed description here; use Comments section if needed&gt;")),"X","")</f>
        <v/>
      </c>
      <c r="B16" s="170" t="s">
        <v>6577</v>
      </c>
      <c r="C16" s="3668" t="s">
        <v>3343</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6678</v>
      </c>
      <c r="BA16" s="1773">
        <v>16</v>
      </c>
    </row>
    <row r="17" spans="1:53" s="289" customFormat="1" ht="11.25" customHeight="1" thickBot="1">
      <c r="A17" s="363" t="str">
        <f>IF(AND(G17&gt;0,OR(C17="",C17="&lt;Enter detailed description here; use Comments section if needed&gt;")),"X","")</f>
        <v/>
      </c>
      <c r="B17" s="170" t="s">
        <v>6578</v>
      </c>
      <c r="C17" s="3668" t="s">
        <v>3343</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6679</v>
      </c>
      <c r="BA17" s="1773">
        <v>17</v>
      </c>
    </row>
    <row r="18" spans="1:53" s="289" customFormat="1" ht="12.6" customHeight="1" thickTop="1">
      <c r="F18" s="338" t="s">
        <v>183</v>
      </c>
      <c r="G18" s="3658">
        <f>SUM(G9:G17)</f>
        <v>58000</v>
      </c>
      <c r="H18" s="3659"/>
      <c r="J18" s="3658">
        <f>SUM(J9:J17)</f>
        <v>58000</v>
      </c>
      <c r="K18" s="3659"/>
      <c r="L18" s="2641"/>
      <c r="M18" s="3658">
        <f>SUM(M9:M17)</f>
        <v>0</v>
      </c>
      <c r="N18" s="3659"/>
      <c r="P18" s="3658">
        <f>SUM(P9:P17)</f>
        <v>0</v>
      </c>
      <c r="Q18" s="3659"/>
      <c r="S18" s="3658">
        <f>SUM(S9:S17)</f>
        <v>0</v>
      </c>
      <c r="T18" s="3659"/>
      <c r="V18" s="2801">
        <f>SUM(V9:V17)</f>
        <v>0</v>
      </c>
      <c r="W18" s="3634"/>
      <c r="X18" s="3635"/>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140845.07042253521</v>
      </c>
      <c r="G20" s="3505">
        <v>1000000</v>
      </c>
      <c r="H20" s="3506"/>
      <c r="J20" s="340"/>
      <c r="K20" s="337"/>
      <c r="L20" s="340"/>
      <c r="M20" s="340"/>
      <c r="N20" s="337"/>
      <c r="P20" s="340"/>
      <c r="Q20" s="337"/>
      <c r="S20" s="3505">
        <v>1000000</v>
      </c>
      <c r="T20" s="3506"/>
      <c r="V20" s="2799"/>
      <c r="W20" s="3632"/>
      <c r="X20" s="3633"/>
      <c r="AZ20" s="1808"/>
      <c r="BA20" s="1773">
        <v>20</v>
      </c>
    </row>
    <row r="21" spans="1:53" s="289" customFormat="1" ht="11.25" customHeight="1">
      <c r="B21" s="289" t="s">
        <v>1079</v>
      </c>
      <c r="G21" s="3516">
        <v>200000</v>
      </c>
      <c r="H21" s="3517"/>
      <c r="J21" s="340"/>
      <c r="K21" s="337"/>
      <c r="L21" s="340"/>
      <c r="M21" s="340"/>
      <c r="N21" s="337"/>
      <c r="P21" s="340"/>
      <c r="Q21" s="337"/>
      <c r="S21" s="3516">
        <v>200000</v>
      </c>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1200000</v>
      </c>
      <c r="H24" s="3659"/>
      <c r="J24" s="340"/>
      <c r="K24" s="337"/>
      <c r="L24" s="340"/>
      <c r="M24" s="3658">
        <f>SUM(M22:M23)</f>
        <v>0</v>
      </c>
      <c r="N24" s="3659"/>
      <c r="P24" s="340"/>
      <c r="Q24" s="337"/>
      <c r="S24" s="3658">
        <f>SUM(S20:S23)</f>
        <v>1200000</v>
      </c>
      <c r="T24" s="3659"/>
      <c r="V24" s="2801">
        <f>SUM(V20:V23)</f>
        <v>0</v>
      </c>
      <c r="W24" s="3634"/>
      <c r="X24" s="3635"/>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250902.11267605636</v>
      </c>
      <c r="G26" s="3505">
        <v>1781405</v>
      </c>
      <c r="H26" s="3506"/>
      <c r="J26" s="3505">
        <v>1692335</v>
      </c>
      <c r="K26" s="3506"/>
      <c r="L26" s="2641"/>
      <c r="M26" s="3670"/>
      <c r="N26" s="3671"/>
      <c r="P26" s="3670"/>
      <c r="Q26" s="3671"/>
      <c r="S26" s="3505">
        <v>89070</v>
      </c>
      <c r="T26" s="3506"/>
      <c r="V26" s="2799"/>
      <c r="W26" s="3632"/>
      <c r="X26" s="3633"/>
      <c r="AZ26" s="1808"/>
      <c r="BA26" s="1773">
        <v>26</v>
      </c>
    </row>
    <row r="27" spans="1:53" s="289" customFormat="1" ht="11.25" customHeight="1" thickBot="1">
      <c r="B27" s="289" t="s">
        <v>1082</v>
      </c>
      <c r="G27" s="3626">
        <v>146088</v>
      </c>
      <c r="H27" s="3627"/>
      <c r="J27" s="3626"/>
      <c r="K27" s="3627"/>
      <c r="L27" s="341"/>
      <c r="M27" s="3672"/>
      <c r="N27" s="3672"/>
      <c r="P27" s="3672"/>
      <c r="Q27" s="3672"/>
      <c r="S27" s="3626">
        <v>146088</v>
      </c>
      <c r="T27" s="3627"/>
      <c r="V27" s="2799"/>
      <c r="W27" s="3620"/>
      <c r="X27" s="3621"/>
      <c r="AZ27" s="1808"/>
      <c r="BA27" s="1773">
        <v>27</v>
      </c>
    </row>
    <row r="28" spans="1:53" s="289" customFormat="1" ht="12.6" customHeight="1" thickTop="1">
      <c r="F28" s="338" t="s">
        <v>183</v>
      </c>
      <c r="G28" s="3658">
        <f>SUM(G26:G27)</f>
        <v>1927493</v>
      </c>
      <c r="H28" s="3659"/>
      <c r="J28" s="3658">
        <f>SUM(J26:J27)</f>
        <v>1692335</v>
      </c>
      <c r="K28" s="3659"/>
      <c r="L28" s="340"/>
      <c r="M28" s="3658">
        <f>M26</f>
        <v>0</v>
      </c>
      <c r="N28" s="3659"/>
      <c r="P28" s="3658">
        <f>P26</f>
        <v>0</v>
      </c>
      <c r="Q28" s="3659"/>
      <c r="S28" s="3658">
        <f>SUM(S26:S27)</f>
        <v>235158</v>
      </c>
      <c r="T28" s="3659"/>
      <c r="V28" s="2801">
        <f>SUM(V26:V27)</f>
        <v>0</v>
      </c>
      <c r="W28" s="3634"/>
      <c r="X28" s="3635"/>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5208690</v>
      </c>
      <c r="H30" s="3506"/>
      <c r="J30" s="3505">
        <v>5208690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6299</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6297</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2604</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6298</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5208690</v>
      </c>
      <c r="H36" s="3659"/>
      <c r="J36" s="3658">
        <f>SUM(J30:J35)</f>
        <v>5208690</v>
      </c>
      <c r="K36" s="3659"/>
      <c r="L36" s="2641"/>
      <c r="M36" s="3658">
        <f>SUM(M30:M35)</f>
        <v>0</v>
      </c>
      <c r="N36" s="3659"/>
      <c r="P36" s="3658">
        <f>SUM(P30:P35)</f>
        <v>0</v>
      </c>
      <c r="Q36" s="3659"/>
      <c r="S36" s="3658">
        <f>SUM(S30:S35)</f>
        <v>0</v>
      </c>
      <c r="T36" s="3659"/>
      <c r="V36" s="2801">
        <f>SUM(V30:V35)</f>
        <v>0</v>
      </c>
      <c r="W36" s="3634"/>
      <c r="X36" s="3635"/>
      <c r="AZ36" s="1808" t="s">
        <v>6683</v>
      </c>
      <c r="BA36" s="1773">
        <v>36</v>
      </c>
    </row>
    <row r="37" spans="1:53" s="289" customFormat="1" ht="12" customHeight="1">
      <c r="B37" s="291" t="s">
        <v>2239</v>
      </c>
      <c r="D37" s="3675" t="s">
        <v>3357</v>
      </c>
      <c r="E37" s="3675"/>
      <c r="F37" s="851">
        <f>SUM(F38:F40)</f>
        <v>0.13999963285694889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428170.98</v>
      </c>
      <c r="F38" s="852">
        <f>IF(($G$28+$G$36)=0,0,G38/($G$28+$G$36))</f>
        <v>5.9999862671683168E-2</v>
      </c>
      <c r="G38" s="3505">
        <v>428170</v>
      </c>
      <c r="H38" s="3506"/>
      <c r="I38" s="307"/>
      <c r="J38" s="3505">
        <v>428170</v>
      </c>
      <c r="K38" s="3506"/>
      <c r="L38" s="2641"/>
      <c r="M38" s="3505"/>
      <c r="N38" s="3506"/>
      <c r="P38" s="3505"/>
      <c r="Q38" s="3506"/>
      <c r="S38" s="3505"/>
      <c r="T38" s="3506"/>
      <c r="V38" s="2799"/>
      <c r="W38" s="3632"/>
      <c r="X38" s="3633"/>
      <c r="AZ38" s="1808"/>
      <c r="BA38" s="1773">
        <v>38</v>
      </c>
    </row>
    <row r="39" spans="1:53" s="289" customFormat="1" ht="11.25" customHeight="1">
      <c r="B39" s="289" t="s">
        <v>2574</v>
      </c>
      <c r="D39" s="854">
        <f>'DCA Underwriting Assumptions'!$R$79</f>
        <v>0.02</v>
      </c>
      <c r="E39" s="855">
        <f>D39*(G28+G36)</f>
        <v>142723.66</v>
      </c>
      <c r="F39" s="852">
        <f>IF(($G$28+$G$36)=0,0,G39/($G$28+$G$36))</f>
        <v>1.9999907513582542E-2</v>
      </c>
      <c r="G39" s="3516">
        <v>142723</v>
      </c>
      <c r="H39" s="3517"/>
      <c r="I39" s="307"/>
      <c r="J39" s="3516">
        <v>142723</v>
      </c>
      <c r="K39" s="3517"/>
      <c r="L39" s="2641"/>
      <c r="M39" s="3516"/>
      <c r="N39" s="3517"/>
      <c r="P39" s="3516"/>
      <c r="Q39" s="3517"/>
      <c r="S39" s="3516"/>
      <c r="T39" s="3517"/>
      <c r="V39" s="2799"/>
      <c r="W39" s="3632"/>
      <c r="X39" s="3633"/>
      <c r="AZ39" s="1808"/>
      <c r="BA39" s="1773">
        <v>39</v>
      </c>
    </row>
    <row r="40" spans="1:53" s="289" customFormat="1" ht="11.25" customHeight="1" thickBot="1">
      <c r="B40" s="289" t="s">
        <v>2575</v>
      </c>
      <c r="D40" s="858">
        <f>'DCA Underwriting Assumptions'!$R$80</f>
        <v>0.06</v>
      </c>
      <c r="E40" s="859">
        <f>D40*(G28+G36)</f>
        <v>428170.98</v>
      </c>
      <c r="F40" s="1014">
        <f>IF(($G$28+$G$36)=0,0,G40/($G$28+$G$36))</f>
        <v>5.9999862671683168E-2</v>
      </c>
      <c r="G40" s="3626">
        <v>428170</v>
      </c>
      <c r="H40" s="3627"/>
      <c r="I40" s="307"/>
      <c r="J40" s="3626">
        <v>428170</v>
      </c>
      <c r="K40" s="3627"/>
      <c r="L40" s="2641"/>
      <c r="M40" s="3626"/>
      <c r="N40" s="3627"/>
      <c r="P40" s="3626"/>
      <c r="Q40" s="3627"/>
      <c r="S40" s="3626"/>
      <c r="T40" s="3627"/>
      <c r="V40" s="2799"/>
      <c r="W40" s="3620"/>
      <c r="X40" s="3621"/>
      <c r="AZ40" s="1808"/>
      <c r="BA40" s="1773">
        <v>40</v>
      </c>
    </row>
    <row r="41" spans="1:53" s="289" customFormat="1" ht="12.6" customHeight="1" thickTop="1">
      <c r="B41" s="170" t="s">
        <v>3358</v>
      </c>
      <c r="D41" s="856">
        <f>SUM(D38:D40)</f>
        <v>0.14000000000000001</v>
      </c>
      <c r="E41" s="857">
        <f>SUM(E38:E40)</f>
        <v>999065.62</v>
      </c>
      <c r="F41" s="839" t="s">
        <v>183</v>
      </c>
      <c r="G41" s="3658">
        <f>SUM(G38:G40)</f>
        <v>999063</v>
      </c>
      <c r="H41" s="3659"/>
      <c r="J41" s="3658">
        <f>SUM(J38:J40)</f>
        <v>999063</v>
      </c>
      <c r="K41" s="3659"/>
      <c r="L41" s="340"/>
      <c r="M41" s="3658">
        <f>SUM(M38:M40)</f>
        <v>0</v>
      </c>
      <c r="N41" s="3659"/>
      <c r="P41" s="3658">
        <f>SUM(P38:P40)</f>
        <v>0</v>
      </c>
      <c r="Q41" s="3659"/>
      <c r="S41" s="3658">
        <f>SUM(S38:S40)</f>
        <v>0</v>
      </c>
      <c r="T41" s="3659"/>
      <c r="V41" s="2801">
        <f>SUM(V38:V40)</f>
        <v>0</v>
      </c>
      <c r="W41" s="3634"/>
      <c r="X41" s="3635"/>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751">
        <f>G28+G36+G41</f>
        <v>8135246</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668" t="s">
        <v>3343</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6686</v>
      </c>
      <c r="BA47" s="1773">
        <v>47</v>
      </c>
    </row>
    <row r="48" spans="1:53" s="289" customFormat="1" ht="12.6" customHeight="1">
      <c r="B48" s="1740" t="s">
        <v>2580</v>
      </c>
      <c r="C48" s="1741"/>
      <c r="E48" s="3685" t="s">
        <v>2579</v>
      </c>
      <c r="F48" s="2637">
        <f>C49/'Part VI-Revenues &amp; Expenses'!$P$65</f>
        <v>162704.92000000001</v>
      </c>
      <c r="G48" s="2638" t="s">
        <v>2598</v>
      </c>
      <c r="H48" s="1742"/>
      <c r="I48" s="1742"/>
      <c r="J48" s="3687">
        <f>C49/'Part VI-Revenues &amp; Expenses'!$P$67</f>
        <v>162704.92000000001</v>
      </c>
      <c r="K48" s="3687"/>
      <c r="L48" s="1742"/>
      <c r="M48" s="3688" t="s">
        <v>6797</v>
      </c>
      <c r="N48" s="3688"/>
      <c r="O48" s="1742"/>
      <c r="P48" s="3687">
        <f>C49/'Part I-Project Information'!$P$70</f>
        <v>144.94870378619154</v>
      </c>
      <c r="Q48" s="3687"/>
      <c r="R48" s="1742"/>
      <c r="S48" s="3689" t="s">
        <v>6799</v>
      </c>
      <c r="T48" s="3690"/>
      <c r="V48" s="935"/>
      <c r="W48" s="3681"/>
      <c r="X48" s="3682"/>
      <c r="AZ48" s="1808"/>
      <c r="BA48" s="1773">
        <v>48</v>
      </c>
    </row>
    <row r="49" spans="1:53" s="289" customFormat="1" ht="12.6" customHeight="1">
      <c r="B49" s="1781" t="s">
        <v>6816</v>
      </c>
      <c r="C49" s="1780">
        <f>G28+G36+G41+G46</f>
        <v>8135246</v>
      </c>
      <c r="E49" s="3686"/>
      <c r="F49" s="2639">
        <f>C49/'Part VI-Revenues &amp; Expenses'!$P$166</f>
        <v>191.23756464503995</v>
      </c>
      <c r="G49" s="1743" t="s">
        <v>2599</v>
      </c>
      <c r="H49" s="1744"/>
      <c r="I49" s="1744"/>
      <c r="J49" s="3677">
        <f>C49/'Part VI-Revenues &amp; Expenses'!$P$168</f>
        <v>191.23756464503995</v>
      </c>
      <c r="K49" s="3677"/>
      <c r="L49" s="1744"/>
      <c r="M49" s="3678" t="s">
        <v>6798</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406762.30000000005</v>
      </c>
      <c r="F55" s="1849">
        <f>G55/C49</f>
        <v>4.9999963123426139E-2</v>
      </c>
      <c r="G55" s="3640">
        <v>406762</v>
      </c>
      <c r="H55" s="3641"/>
      <c r="I55" s="289"/>
      <c r="J55" s="3640">
        <v>406762</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6608</v>
      </c>
      <c r="C57" s="1741"/>
      <c r="E57" s="3768" t="s">
        <v>6609</v>
      </c>
      <c r="F57" s="2637">
        <f>B58/'Part VI-Revenues &amp; Expenses'!$P$65</f>
        <v>170840.16</v>
      </c>
      <c r="G57" s="2638" t="s">
        <v>2598</v>
      </c>
      <c r="H57" s="1742"/>
      <c r="I57" s="1742"/>
      <c r="J57" s="3687">
        <f>B58/'Part VI-Revenues &amp; Expenses'!$P$67</f>
        <v>170840.16</v>
      </c>
      <c r="K57" s="3687"/>
      <c r="L57" s="1742"/>
      <c r="M57" s="3688" t="s">
        <v>6797</v>
      </c>
      <c r="N57" s="3688"/>
      <c r="O57" s="1742"/>
      <c r="P57" s="3687">
        <f>B58/'Part I-Project Information'!$P$70</f>
        <v>152.19613363028952</v>
      </c>
      <c r="Q57" s="3687"/>
      <c r="R57" s="1742"/>
      <c r="S57" s="3689" t="s">
        <v>6799</v>
      </c>
      <c r="T57" s="3690"/>
      <c r="V57" s="935"/>
      <c r="W57" s="3681"/>
      <c r="X57" s="3682"/>
      <c r="AZ57" s="1808"/>
      <c r="BA57" s="1773">
        <v>54</v>
      </c>
    </row>
    <row r="58" spans="1:53" s="289" customFormat="1" ht="12.6" customHeight="1">
      <c r="B58" s="3766">
        <f>C49+G55</f>
        <v>8542008</v>
      </c>
      <c r="C58" s="3767"/>
      <c r="E58" s="3769"/>
      <c r="F58" s="2639">
        <f>B58/'Part VI-Revenues &amp; Expenses'!$P$166</f>
        <v>200.79943582510577</v>
      </c>
      <c r="G58" s="1743" t="s">
        <v>2599</v>
      </c>
      <c r="H58" s="1744"/>
      <c r="I58" s="1744"/>
      <c r="J58" s="3677">
        <f>B58/'Part VI-Revenues &amp; Expenses'!$P$168</f>
        <v>200.79943582510577</v>
      </c>
      <c r="K58" s="3677"/>
      <c r="L58" s="1744"/>
      <c r="M58" s="3678" t="s">
        <v>6798</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3360</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2242</v>
      </c>
      <c r="G63" s="3516">
        <v>85956</v>
      </c>
      <c r="H63" s="3517"/>
      <c r="J63" s="3516">
        <v>85956</v>
      </c>
      <c r="K63" s="3517"/>
      <c r="L63" s="2641"/>
      <c r="M63" s="3516"/>
      <c r="N63" s="3517"/>
      <c r="P63" s="3516"/>
      <c r="Q63" s="3517"/>
      <c r="S63" s="3516"/>
      <c r="T63" s="3517"/>
      <c r="V63" s="2803"/>
      <c r="W63" s="3632"/>
      <c r="X63" s="3633"/>
      <c r="AZ63" s="1808"/>
      <c r="BA63" s="1773">
        <v>63</v>
      </c>
    </row>
    <row r="64" spans="1:53" s="289" customFormat="1" ht="12" customHeight="1">
      <c r="B64" s="289" t="s">
        <v>2243</v>
      </c>
      <c r="G64" s="3516">
        <v>286940</v>
      </c>
      <c r="H64" s="3517"/>
      <c r="J64" s="3516">
        <v>286940</v>
      </c>
      <c r="K64" s="3517"/>
      <c r="L64" s="2641"/>
      <c r="M64" s="3516"/>
      <c r="N64" s="3517"/>
      <c r="P64" s="3516"/>
      <c r="Q64" s="3517"/>
      <c r="S64" s="3516"/>
      <c r="T64" s="3517"/>
      <c r="V64" s="2803"/>
      <c r="W64" s="3632"/>
      <c r="X64" s="3633"/>
      <c r="AZ64" s="1808"/>
      <c r="BA64" s="1773">
        <v>64</v>
      </c>
    </row>
    <row r="65" spans="1:53" s="289" customFormat="1" ht="12" customHeight="1">
      <c r="B65" s="289" t="s">
        <v>2244</v>
      </c>
      <c r="G65" s="3516">
        <v>25000</v>
      </c>
      <c r="H65" s="3517"/>
      <c r="J65" s="3516">
        <v>25000</v>
      </c>
      <c r="K65" s="3517"/>
      <c r="L65" s="2641"/>
      <c r="M65" s="3516"/>
      <c r="N65" s="3517"/>
      <c r="P65" s="3516"/>
      <c r="Q65" s="3517"/>
      <c r="S65" s="3516"/>
      <c r="T65" s="3517"/>
      <c r="V65" s="2803"/>
      <c r="W65" s="3632"/>
      <c r="X65" s="3633"/>
      <c r="AZ65" s="1808" t="s">
        <v>6687</v>
      </c>
      <c r="BA65" s="1773">
        <v>65</v>
      </c>
    </row>
    <row r="66" spans="1:53" s="289" customFormat="1" ht="12" customHeight="1">
      <c r="B66" s="289" t="s">
        <v>2539</v>
      </c>
      <c r="G66" s="3516"/>
      <c r="H66" s="3517"/>
      <c r="J66" s="3516"/>
      <c r="K66" s="3517"/>
      <c r="L66" s="2641"/>
      <c r="M66" s="3516"/>
      <c r="N66" s="3517"/>
      <c r="P66" s="3516"/>
      <c r="Q66" s="3517"/>
      <c r="S66" s="3516"/>
      <c r="T66" s="3517"/>
      <c r="V66" s="2803"/>
      <c r="W66" s="3632"/>
      <c r="X66" s="3633"/>
      <c r="AZ66" s="1808" t="s">
        <v>6688</v>
      </c>
      <c r="BA66" s="1773">
        <v>66</v>
      </c>
    </row>
    <row r="67" spans="1:53" s="289" customFormat="1" ht="12" customHeight="1">
      <c r="B67" s="289" t="s">
        <v>693</v>
      </c>
      <c r="G67" s="3516">
        <v>16000</v>
      </c>
      <c r="H67" s="3517"/>
      <c r="J67" s="3516">
        <v>16000</v>
      </c>
      <c r="K67" s="3517"/>
      <c r="L67" s="2641"/>
      <c r="M67" s="3516"/>
      <c r="N67" s="3517"/>
      <c r="P67" s="3516"/>
      <c r="Q67" s="3517"/>
      <c r="S67" s="3516"/>
      <c r="T67" s="3517"/>
      <c r="V67" s="2803"/>
      <c r="W67" s="3632"/>
      <c r="X67" s="3633"/>
      <c r="AZ67" s="1808" t="s">
        <v>6689</v>
      </c>
      <c r="BA67" s="1773">
        <v>67</v>
      </c>
    </row>
    <row r="68" spans="1:53" s="289" customFormat="1" ht="12" customHeight="1">
      <c r="B68" s="289" t="s">
        <v>2245</v>
      </c>
      <c r="G68" s="3516">
        <v>15000</v>
      </c>
      <c r="H68" s="3517"/>
      <c r="J68" s="3516">
        <v>15000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30000</v>
      </c>
      <c r="H69" s="3517"/>
      <c r="J69" s="3516">
        <v>30000</v>
      </c>
      <c r="K69" s="3517"/>
      <c r="L69" s="2641"/>
      <c r="M69" s="3516"/>
      <c r="N69" s="3517"/>
      <c r="P69" s="3516"/>
      <c r="Q69" s="3517"/>
      <c r="S69" s="3516"/>
      <c r="T69" s="3517"/>
      <c r="V69" s="2803"/>
      <c r="W69" s="3632"/>
      <c r="X69" s="3633"/>
      <c r="AZ69" s="1808"/>
      <c r="BA69" s="1773">
        <v>69</v>
      </c>
    </row>
    <row r="70" spans="1:53" s="289" customFormat="1" ht="12" customHeight="1">
      <c r="B70" s="344" t="s">
        <v>1111</v>
      </c>
      <c r="D70" s="342"/>
      <c r="E70" s="342"/>
      <c r="F70" s="343"/>
      <c r="G70" s="3516"/>
      <c r="H70" s="3517"/>
      <c r="I70" s="307"/>
      <c r="J70" s="3516"/>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6581</v>
      </c>
      <c r="C71" s="3695" t="s">
        <v>3343</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6582</v>
      </c>
      <c r="C72" s="3693" t="s">
        <v>3343</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458896</v>
      </c>
      <c r="H73" s="3659"/>
      <c r="J73" s="3658">
        <f>SUM(J61:J72)</f>
        <v>458896</v>
      </c>
      <c r="K73" s="3659"/>
      <c r="L73" s="340"/>
      <c r="M73" s="3658">
        <f>SUM(M61:M72)</f>
        <v>0</v>
      </c>
      <c r="N73" s="3659"/>
      <c r="P73" s="3658">
        <f>SUM(P61:P72)</f>
        <v>0</v>
      </c>
      <c r="Q73" s="3659"/>
      <c r="S73" s="3658">
        <f>SUM(S61:S72)</f>
        <v>0</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125000</v>
      </c>
      <c r="H75" s="3506"/>
      <c r="J75" s="3505">
        <v>125000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25000</v>
      </c>
      <c r="H76" s="3517"/>
      <c r="J76" s="3516">
        <v>25000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35000</v>
      </c>
      <c r="H77" s="3517"/>
      <c r="J77" s="3516">
        <v>35000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c r="H78" s="3517"/>
      <c r="J78" s="3516"/>
      <c r="K78" s="3517"/>
      <c r="L78" s="2641"/>
      <c r="M78" s="3516"/>
      <c r="N78" s="3517"/>
      <c r="P78" s="3516"/>
      <c r="Q78" s="3517"/>
      <c r="S78" s="3516"/>
      <c r="T78" s="3517"/>
      <c r="V78" s="2799"/>
      <c r="W78" s="3632"/>
      <c r="X78" s="3633"/>
      <c r="AZ78" s="1808"/>
      <c r="BA78" s="1773">
        <v>78</v>
      </c>
    </row>
    <row r="79" spans="1:53" s="289" customFormat="1" ht="12" customHeight="1">
      <c r="B79" s="289" t="s">
        <v>1088</v>
      </c>
      <c r="G79" s="3516">
        <v>25000</v>
      </c>
      <c r="H79" s="3517"/>
      <c r="J79" s="3516">
        <v>25000</v>
      </c>
      <c r="K79" s="3517"/>
      <c r="L79" s="2641"/>
      <c r="M79" s="3516"/>
      <c r="N79" s="3517"/>
      <c r="P79" s="3516"/>
      <c r="Q79" s="3517"/>
      <c r="S79" s="3516"/>
      <c r="T79" s="3517"/>
      <c r="V79" s="2799"/>
      <c r="W79" s="3632"/>
      <c r="X79" s="3633"/>
      <c r="AZ79" s="1808" t="s">
        <v>6690</v>
      </c>
      <c r="BA79" s="1773">
        <v>79</v>
      </c>
    </row>
    <row r="80" spans="1:53" s="289" customFormat="1" ht="12" customHeight="1">
      <c r="B80" s="289" t="s">
        <v>1089</v>
      </c>
      <c r="G80" s="3516">
        <v>37500</v>
      </c>
      <c r="H80" s="3517"/>
      <c r="J80" s="3516">
        <v>37500</v>
      </c>
      <c r="K80" s="3517"/>
      <c r="L80" s="2641"/>
      <c r="M80" s="3516"/>
      <c r="N80" s="3517"/>
      <c r="P80" s="3516"/>
      <c r="Q80" s="3517"/>
      <c r="S80" s="3516"/>
      <c r="T80" s="3517"/>
      <c r="V80" s="2799"/>
      <c r="W80" s="3632"/>
      <c r="X80" s="3633"/>
      <c r="AZ80" s="1808" t="s">
        <v>6691</v>
      </c>
      <c r="BA80" s="1773">
        <v>80</v>
      </c>
    </row>
    <row r="81" spans="1:53" s="289" customFormat="1" ht="12" customHeight="1">
      <c r="B81" s="289" t="s">
        <v>459</v>
      </c>
      <c r="G81" s="3516">
        <v>85000</v>
      </c>
      <c r="H81" s="3517"/>
      <c r="J81" s="3516">
        <v>85000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35000</v>
      </c>
      <c r="H82" s="3517"/>
      <c r="J82" s="3516">
        <v>25000</v>
      </c>
      <c r="K82" s="3517"/>
      <c r="L82" s="2641"/>
      <c r="M82" s="3516"/>
      <c r="N82" s="3517"/>
      <c r="P82" s="3516"/>
      <c r="Q82" s="3517"/>
      <c r="S82" s="3516">
        <v>10000</v>
      </c>
      <c r="T82" s="3517"/>
      <c r="V82" s="2799"/>
      <c r="W82" s="3632"/>
      <c r="X82" s="3633"/>
      <c r="AZ82" s="1808"/>
      <c r="BA82" s="1773">
        <v>82</v>
      </c>
    </row>
    <row r="83" spans="1:53" s="289" customFormat="1" ht="12" customHeight="1">
      <c r="B83" s="289" t="s">
        <v>1957</v>
      </c>
      <c r="G83" s="3516">
        <v>15000</v>
      </c>
      <c r="H83" s="3517"/>
      <c r="J83" s="3516">
        <v>15000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10000</v>
      </c>
      <c r="H84" s="3517"/>
      <c r="J84" s="3516">
        <v>10000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6583</v>
      </c>
      <c r="C85" s="3668" t="s">
        <v>3343</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392500</v>
      </c>
      <c r="H86" s="3659"/>
      <c r="J86" s="3658">
        <f>SUM(J75:J85)</f>
        <v>382500</v>
      </c>
      <c r="K86" s="3659"/>
      <c r="L86" s="340"/>
      <c r="M86" s="3658">
        <f>SUM(M75:M85)</f>
        <v>0</v>
      </c>
      <c r="N86" s="3659"/>
      <c r="P86" s="3658">
        <f>SUM(P75:P85)</f>
        <v>0</v>
      </c>
      <c r="Q86" s="3659"/>
      <c r="S86" s="3658">
        <f>SUM(S75:S85)</f>
        <v>10000</v>
      </c>
      <c r="T86" s="3659"/>
      <c r="V86" s="2801">
        <f>SUM(V75:V85)</f>
        <v>0</v>
      </c>
      <c r="W86" s="3634"/>
      <c r="X86" s="3635"/>
      <c r="AZ86" s="1808" t="s">
        <v>6692</v>
      </c>
      <c r="BA86" s="1773">
        <v>86</v>
      </c>
    </row>
    <row r="87" spans="1:53" ht="12" customHeight="1">
      <c r="A87" s="289"/>
      <c r="B87" s="291" t="s">
        <v>1221</v>
      </c>
      <c r="C87" s="289"/>
      <c r="D87" s="788" t="s">
        <v>3361</v>
      </c>
      <c r="E87" s="861">
        <f>G92/'Part VI-Revenues &amp; Expenses'!$P$67</f>
        <v>1218.08</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28904</v>
      </c>
      <c r="H88" s="3506"/>
      <c r="J88" s="3505">
        <v>28904</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2772</v>
      </c>
      <c r="G90" s="3516">
        <v>25000</v>
      </c>
      <c r="H90" s="3517"/>
      <c r="I90" s="307"/>
      <c r="J90" s="3516">
        <v>25000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2772</v>
      </c>
      <c r="G91" s="3472">
        <v>7000</v>
      </c>
      <c r="H91" s="3473"/>
      <c r="I91" s="307"/>
      <c r="J91" s="3472">
        <v>7000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60904</v>
      </c>
      <c r="H92" s="3659"/>
      <c r="J92" s="3658">
        <f>SUM(J88:J91)</f>
        <v>60904</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05"/>
      <c r="H97" s="3506"/>
      <c r="J97" s="3697"/>
      <c r="K97" s="3697"/>
      <c r="L97" s="2641"/>
      <c r="M97" s="3697"/>
      <c r="N97" s="3697"/>
      <c r="P97" s="3697"/>
      <c r="Q97" s="3697"/>
      <c r="S97" s="3505"/>
      <c r="T97" s="3506"/>
      <c r="V97" s="2799"/>
      <c r="W97" s="3632"/>
      <c r="X97" s="3633"/>
      <c r="AZ97" s="1808" t="s">
        <v>6694</v>
      </c>
      <c r="BA97" s="1773">
        <v>94</v>
      </c>
    </row>
    <row r="98" spans="1:53" s="289" customFormat="1" ht="12" customHeight="1">
      <c r="B98" s="289" t="s">
        <v>1227</v>
      </c>
      <c r="G98" s="3516"/>
      <c r="H98" s="3517"/>
      <c r="J98" s="3697"/>
      <c r="K98" s="3697"/>
      <c r="L98" s="2641"/>
      <c r="M98" s="3697"/>
      <c r="N98" s="3697"/>
      <c r="P98" s="3697"/>
      <c r="Q98" s="3697"/>
      <c r="S98" s="3516"/>
      <c r="T98" s="3517"/>
      <c r="V98" s="2799"/>
      <c r="W98" s="3632"/>
      <c r="X98" s="3633"/>
      <c r="AZ98" s="1808"/>
      <c r="BA98" s="1773">
        <v>95</v>
      </c>
    </row>
    <row r="99" spans="1:53" s="289" customFormat="1" ht="12" customHeight="1">
      <c r="B99" s="289" t="s">
        <v>1228</v>
      </c>
      <c r="G99" s="3516"/>
      <c r="H99" s="3517"/>
      <c r="J99" s="3697"/>
      <c r="K99" s="3697"/>
      <c r="L99" s="2641"/>
      <c r="M99" s="3697"/>
      <c r="N99" s="3697"/>
      <c r="P99" s="3697"/>
      <c r="Q99" s="3697"/>
      <c r="S99" s="3516"/>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2195</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6584</v>
      </c>
      <c r="C102" s="3668" t="s">
        <v>3343</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0</v>
      </c>
      <c r="H103" s="3659"/>
      <c r="J103" s="3697"/>
      <c r="K103" s="3697"/>
      <c r="L103" s="340"/>
      <c r="M103" s="3697"/>
      <c r="N103" s="3697"/>
      <c r="P103" s="3697"/>
      <c r="Q103" s="3697"/>
      <c r="S103" s="3658">
        <f>SUM(S97:S102)</f>
        <v>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6695</v>
      </c>
      <c r="BA106" s="1773">
        <v>106</v>
      </c>
    </row>
    <row r="107" spans="1:53" s="289" customFormat="1" ht="12.6" customHeight="1">
      <c r="B107" s="289" t="s">
        <v>3462</v>
      </c>
      <c r="G107" s="3516">
        <v>1000</v>
      </c>
      <c r="H107" s="3517"/>
      <c r="J107" s="340"/>
      <c r="K107" s="340"/>
      <c r="L107" s="347"/>
      <c r="M107" s="340"/>
      <c r="N107" s="340"/>
      <c r="O107" s="2627"/>
      <c r="P107" s="340"/>
      <c r="Q107" s="340"/>
      <c r="S107" s="3516">
        <v>1000</v>
      </c>
      <c r="T107" s="3517"/>
      <c r="V107" s="2799"/>
      <c r="W107" s="3632"/>
      <c r="X107" s="3633"/>
      <c r="AZ107" s="1808" t="s">
        <v>6696</v>
      </c>
      <c r="BA107" s="1773">
        <v>107</v>
      </c>
    </row>
    <row r="108" spans="1:53" s="289" customFormat="1" ht="12.6" customHeight="1">
      <c r="B108" s="289" t="s">
        <v>494</v>
      </c>
      <c r="E108" s="3698">
        <f>ROUNDUP('DCA Underwriting Assumptions'!$Q$93*J197,0)</f>
        <v>79912</v>
      </c>
      <c r="F108" s="3699"/>
      <c r="G108" s="3516">
        <v>79912</v>
      </c>
      <c r="H108" s="3517"/>
      <c r="J108" s="862" t="str">
        <f>IF(E108&gt;G108,"WARNING!  LIHTC Allocation Fee proposed is below minimum required.","")</f>
        <v/>
      </c>
      <c r="K108" s="340"/>
      <c r="L108" s="2641"/>
      <c r="M108" s="340"/>
      <c r="N108" s="340"/>
      <c r="O108" s="2627"/>
      <c r="P108" s="340"/>
      <c r="Q108" s="340"/>
      <c r="S108" s="3516">
        <v>79912</v>
      </c>
      <c r="T108" s="3517"/>
      <c r="V108" s="2799"/>
      <c r="W108" s="3632"/>
      <c r="X108" s="3633"/>
      <c r="AZ108" s="1808" t="s">
        <v>6697</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50000</v>
      </c>
      <c r="F109" s="3699"/>
      <c r="G109" s="3516">
        <v>50000</v>
      </c>
      <c r="H109" s="3517"/>
      <c r="I109" s="3610" t="str">
        <f>IF(E109&gt;G109,"WARNING!  LIHTC Compliance Fee proposed is below minimum required.","")</f>
        <v/>
      </c>
      <c r="J109" s="3611"/>
      <c r="K109" s="3611"/>
      <c r="L109" s="3611"/>
      <c r="M109" s="3611"/>
      <c r="N109" s="3611"/>
      <c r="O109" s="3611"/>
      <c r="P109" s="3611"/>
      <c r="Q109" s="3611"/>
      <c r="R109" s="3612"/>
      <c r="S109" s="3516">
        <v>50000</v>
      </c>
      <c r="T109" s="3517"/>
      <c r="V109" s="2799"/>
      <c r="W109" s="3632"/>
      <c r="X109" s="3633"/>
      <c r="AZ109" s="1808"/>
      <c r="BA109" s="1773">
        <v>109</v>
      </c>
    </row>
    <row r="110" spans="1:53" s="289" customFormat="1" ht="12.6" customHeight="1">
      <c r="B110" s="289" t="s">
        <v>3602</v>
      </c>
      <c r="F110" s="1034">
        <f>ROUNDUP('DCA Underwriting Assumptions'!$Q$95,0)</f>
        <v>0</v>
      </c>
      <c r="G110" s="3516"/>
      <c r="H110" s="3517"/>
      <c r="I110" s="3610"/>
      <c r="J110" s="3611"/>
      <c r="K110" s="3611"/>
      <c r="L110" s="3611"/>
      <c r="M110" s="3611"/>
      <c r="N110" s="3611"/>
      <c r="O110" s="3611"/>
      <c r="P110" s="3611"/>
      <c r="Q110" s="3611"/>
      <c r="R110" s="3612"/>
      <c r="S110" s="3516"/>
      <c r="T110" s="3517"/>
      <c r="V110" s="2799"/>
      <c r="W110" s="3632"/>
      <c r="X110" s="3633"/>
      <c r="AZ110" s="1808"/>
      <c r="BA110" s="1773">
        <v>110</v>
      </c>
    </row>
    <row r="111" spans="1:53" s="289" customFormat="1" ht="12.6" customHeight="1">
      <c r="B111" s="289" t="s">
        <v>3603</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6580</v>
      </c>
      <c r="C112" s="3695" t="s">
        <v>3343</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6580</v>
      </c>
      <c r="C113" s="3693" t="s">
        <v>3343</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6698</v>
      </c>
      <c r="BA113" s="1773">
        <v>113</v>
      </c>
    </row>
    <row r="114" spans="1:53" s="289" customFormat="1" ht="12.6" customHeight="1" thickTop="1">
      <c r="F114" s="338" t="s">
        <v>183</v>
      </c>
      <c r="G114" s="3658">
        <f>SUM(G105:G113)</f>
        <v>140412</v>
      </c>
      <c r="H114" s="3659"/>
      <c r="J114" s="340"/>
      <c r="K114" s="340"/>
      <c r="L114" s="2641"/>
      <c r="M114" s="340"/>
      <c r="N114" s="340"/>
      <c r="P114" s="340"/>
      <c r="Q114" s="340"/>
      <c r="S114" s="3658">
        <f>SUM(S105:S113)</f>
        <v>140412</v>
      </c>
      <c r="T114" s="3659"/>
      <c r="V114" s="2801">
        <f>SUM(V105:V113)</f>
        <v>0</v>
      </c>
      <c r="W114" s="3749"/>
      <c r="X114" s="3750"/>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2500</v>
      </c>
      <c r="H116" s="3506"/>
      <c r="J116" s="3697"/>
      <c r="K116" s="3697"/>
      <c r="L116" s="2641"/>
      <c r="M116" s="3697"/>
      <c r="N116" s="3697"/>
      <c r="O116" s="2627"/>
      <c r="P116" s="3697"/>
      <c r="Q116" s="3697"/>
      <c r="S116" s="3505">
        <v>2500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2279</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6580</v>
      </c>
      <c r="C119" s="3668" t="s">
        <v>3343</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2500</v>
      </c>
      <c r="H120" s="3659"/>
      <c r="J120" s="3697"/>
      <c r="K120" s="3697"/>
      <c r="L120" s="2641"/>
      <c r="M120" s="3697"/>
      <c r="N120" s="3697"/>
      <c r="O120" s="2627"/>
      <c r="P120" s="3697"/>
      <c r="Q120" s="3697"/>
      <c r="S120" s="3658">
        <f>SUM(S116:S119)</f>
        <v>2500</v>
      </c>
      <c r="T120" s="3659"/>
      <c r="V120" s="2801">
        <f>SUM(V116:V119)</f>
        <v>0</v>
      </c>
      <c r="W120" s="3634"/>
      <c r="X120" s="3635"/>
      <c r="AC120" s="3636" t="s">
        <v>4112</v>
      </c>
      <c r="AD120" s="3636" t="s">
        <v>4113</v>
      </c>
      <c r="AE120" s="3650" t="s">
        <v>4118</v>
      </c>
      <c r="AF120" s="3660" t="s">
        <v>4114</v>
      </c>
      <c r="AZ120" s="2807"/>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4103</v>
      </c>
      <c r="Z121" s="1371"/>
      <c r="AA121" s="274" t="s">
        <v>4109</v>
      </c>
      <c r="AB121" s="274" t="s">
        <v>4110</v>
      </c>
      <c r="AC121" s="3637"/>
      <c r="AD121" s="3637"/>
      <c r="AE121" s="3651"/>
      <c r="AF121" s="3661"/>
      <c r="AI121" s="27"/>
      <c r="AK121" s="418"/>
      <c r="AZ121" s="2807" t="s">
        <v>6700</v>
      </c>
      <c r="BA121" s="1773">
        <v>121</v>
      </c>
    </row>
    <row r="122" spans="1:53" s="289" customFormat="1" ht="12.6" customHeight="1">
      <c r="B122" s="289" t="s">
        <v>1774</v>
      </c>
      <c r="F122" s="388">
        <f>IF($G$127=0,0,G122/$G$127)</f>
        <v>0.2</v>
      </c>
      <c r="G122" s="3700">
        <v>240000</v>
      </c>
      <c r="H122" s="3700"/>
      <c r="J122" s="3701">
        <v>240000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1250000</v>
      </c>
      <c r="AI122" s="27"/>
      <c r="AZ122" s="2807"/>
      <c r="BA122" s="1773">
        <v>122</v>
      </c>
    </row>
    <row r="123" spans="1:53" s="289" customFormat="1" ht="12.6" customHeight="1">
      <c r="B123" s="289" t="s">
        <v>3564</v>
      </c>
      <c r="F123" s="2812">
        <v>240000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63"/>
      <c r="AI123" s="27"/>
      <c r="AZ123" s="2807"/>
      <c r="BA123" s="1773">
        <v>123</v>
      </c>
    </row>
    <row r="124" spans="1:53" s="289" customFormat="1" ht="12.6" customHeight="1">
      <c r="B124" s="289" t="s">
        <v>1775</v>
      </c>
      <c r="F124" s="388">
        <f>IF($G$127=0,0,G124/$G$127)</f>
        <v>5.8333333333333334E-2</v>
      </c>
      <c r="G124" s="3505">
        <v>70000</v>
      </c>
      <c r="H124" s="3506"/>
      <c r="J124" s="3505">
        <v>70000</v>
      </c>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3285</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1025000</v>
      </c>
      <c r="AF125" s="3662">
        <f>SUM(AE125:AE127)</f>
        <v>1025000</v>
      </c>
      <c r="AG125" s="757">
        <f>51*AC125</f>
        <v>1045500</v>
      </c>
      <c r="AI125" s="27"/>
      <c r="AZ125" s="2807"/>
      <c r="BA125" s="1773">
        <v>125</v>
      </c>
    </row>
    <row r="126" spans="1:53" s="289" customFormat="1" ht="12.6" customHeight="1" thickBot="1">
      <c r="B126" s="289" t="s">
        <v>1767</v>
      </c>
      <c r="F126" s="388">
        <f>IF($G$127=0,0,G126/$G$127)</f>
        <v>0.7416666666666667</v>
      </c>
      <c r="G126" s="3472">
        <v>890000</v>
      </c>
      <c r="H126" s="3473"/>
      <c r="J126" s="3472">
        <v>890000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1250000</v>
      </c>
      <c r="F127" s="338" t="s">
        <v>183</v>
      </c>
      <c r="G127" s="3658">
        <f>SUM(G122:G126)</f>
        <v>1200000</v>
      </c>
      <c r="H127" s="3703"/>
      <c r="J127" s="3658">
        <f>SUM(J122:J126)</f>
        <v>1200000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6701</v>
      </c>
      <c r="BA128" s="1773">
        <v>128</v>
      </c>
    </row>
    <row r="129" spans="1:53" s="289" customFormat="1" ht="12.6" customHeight="1">
      <c r="B129" s="289" t="s">
        <v>240</v>
      </c>
      <c r="G129" s="3505">
        <v>30000</v>
      </c>
      <c r="H129" s="3506"/>
      <c r="J129" s="348"/>
      <c r="K129" s="348"/>
      <c r="L129" s="348"/>
      <c r="M129" s="348"/>
      <c r="N129" s="348"/>
      <c r="P129" s="348"/>
      <c r="Q129" s="348"/>
      <c r="S129" s="3505">
        <v>30000</v>
      </c>
      <c r="T129" s="3506"/>
      <c r="V129" s="2799"/>
      <c r="W129" s="3632"/>
      <c r="X129" s="3633"/>
      <c r="Y129" s="1371" t="s">
        <v>4105</v>
      </c>
      <c r="Z129" s="1390"/>
      <c r="AB129" s="2819"/>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62372</v>
      </c>
      <c r="G130" s="3516">
        <v>62372</v>
      </c>
      <c r="H130" s="3517"/>
      <c r="J130" s="864" t="str">
        <f>IF(E130&gt;G130,"WARNING! Rent-Up Reserves proposed is below minimum - add comment.","")</f>
        <v/>
      </c>
      <c r="K130" s="864"/>
      <c r="L130" s="2641"/>
      <c r="M130" s="838"/>
      <c r="N130" s="838"/>
      <c r="O130" s="2627"/>
      <c r="P130" s="838"/>
      <c r="Q130" s="838"/>
      <c r="R130" s="2627"/>
      <c r="S130" s="3516">
        <v>62372</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124744</v>
      </c>
      <c r="G131" s="3516">
        <v>124744</v>
      </c>
      <c r="H131" s="3517"/>
      <c r="J131" s="864" t="str">
        <f>IF(E131&gt;G131,"WARNING! ODR proposed is below minimum - add comment.","")</f>
        <v/>
      </c>
      <c r="K131" s="347"/>
      <c r="L131" s="347"/>
      <c r="M131" s="347"/>
      <c r="N131" s="347"/>
      <c r="O131" s="2627"/>
      <c r="P131" s="347"/>
      <c r="Q131" s="347"/>
      <c r="R131" s="2627"/>
      <c r="S131" s="3516">
        <v>124744</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6703</v>
      </c>
      <c r="BA132" s="1773">
        <v>132</v>
      </c>
    </row>
    <row r="133" spans="1:53" s="289" customFormat="1" ht="12.6" customHeight="1">
      <c r="B133" s="289" t="s">
        <v>1199</v>
      </c>
      <c r="E133" s="753" t="s">
        <v>3259</v>
      </c>
      <c r="F133" s="438">
        <f>IF('Part VI-Revenues &amp; Expenses'!$P$67=0,0,G133/'Part VI-Revenues &amp; Expenses'!$P$67)</f>
        <v>1300</v>
      </c>
      <c r="G133" s="3516">
        <v>65000</v>
      </c>
      <c r="H133" s="3517"/>
      <c r="J133" s="3505">
        <v>65000</v>
      </c>
      <c r="K133" s="3506"/>
      <c r="L133" s="2641"/>
      <c r="M133" s="3505"/>
      <c r="N133" s="3506"/>
      <c r="P133" s="3505"/>
      <c r="Q133" s="3506"/>
      <c r="S133" s="3516"/>
      <c r="T133" s="3517"/>
      <c r="V133" s="2799"/>
      <c r="W133" s="3632"/>
      <c r="X133" s="3633"/>
      <c r="AZ133" s="1808" t="s">
        <v>6704</v>
      </c>
      <c r="BA133" s="1773">
        <v>133</v>
      </c>
    </row>
    <row r="134" spans="1:53" s="289" customFormat="1" ht="12.6" customHeight="1" thickBot="1">
      <c r="A134" s="363" t="str">
        <f>IF(AND(G134&gt;0,OR(C134="",C134="&lt;Enter detailed description here; use Comments section if needed&gt;")),"X","")</f>
        <v/>
      </c>
      <c r="B134" s="170" t="s">
        <v>6580</v>
      </c>
      <c r="C134" s="3668" t="s">
        <v>6923</v>
      </c>
      <c r="D134" s="3668"/>
      <c r="E134" s="3668"/>
      <c r="F134" s="3669"/>
      <c r="G134" s="3472">
        <v>50000</v>
      </c>
      <c r="H134" s="3473"/>
      <c r="J134" s="3626"/>
      <c r="K134" s="3627"/>
      <c r="L134" s="2641"/>
      <c r="M134" s="3472"/>
      <c r="N134" s="3473"/>
      <c r="P134" s="3472"/>
      <c r="Q134" s="3473"/>
      <c r="S134" s="3472">
        <v>50000</v>
      </c>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332116</v>
      </c>
      <c r="H135" s="3659"/>
      <c r="J135" s="3658">
        <f>SUM(J133:J134)</f>
        <v>65000</v>
      </c>
      <c r="K135" s="3659"/>
      <c r="L135" s="2641"/>
      <c r="M135" s="3658">
        <f>SUM(M133:M134)</f>
        <v>0</v>
      </c>
      <c r="N135" s="3659"/>
      <c r="P135" s="3658">
        <f>SUM(P133:P134)</f>
        <v>0</v>
      </c>
      <c r="Q135" s="3659"/>
      <c r="S135" s="3658">
        <f>SUM(S129:S134)</f>
        <v>267116</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6580</v>
      </c>
      <c r="C143" s="3668"/>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6818</v>
      </c>
      <c r="E146" s="753"/>
      <c r="F146" s="1394"/>
      <c r="G146" s="3704">
        <f>G18+G24+G28+G36+G41+G46+G55+G73+G86+G92+G103+G114+G120+G127+G135+G144</f>
        <v>12387336</v>
      </c>
      <c r="H146" s="3705"/>
      <c r="J146" s="3704">
        <f>J18+J24+J28+J36+J41+J46+J55+J73+J86+J92+J103+J114+J120+J127+J135+J144</f>
        <v>10532150</v>
      </c>
      <c r="K146" s="3705"/>
      <c r="M146" s="3704">
        <f>M18+M24+M28+M36+M41+M46+M55+M73+M86+M92+M103+M114+M120+M127+M135+M144</f>
        <v>0</v>
      </c>
      <c r="N146" s="3705"/>
      <c r="P146" s="3704">
        <f>P18+P24+P28+P36+P41+P46+P55+P73+P86+P92+P103+P114+P120+P127+P135+P144</f>
        <v>0</v>
      </c>
      <c r="Q146" s="3705"/>
      <c r="S146" s="3704">
        <f>S18+S24+S28+S36+S41+S46+S55+S73+S86+S92+S103+S114+S120+S127+S135+S144</f>
        <v>1855186</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1">
        <f>IF('Part VI-Revenues &amp; Expenses'!$P$67=0,0,G146/'Part VI-Revenues &amp; Expenses'!$P$67)</f>
        <v>247746.72</v>
      </c>
      <c r="E148" s="3711"/>
      <c r="F148" s="471" t="s">
        <v>2593</v>
      </c>
      <c r="G148" s="3712">
        <f>IF('Part I-Project Information'!$P$70=0,0,G146/'Part I-Project Information'!$P$70)</f>
        <v>220.70977282850779</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2058</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1777</v>
      </c>
      <c r="D155" s="2627"/>
      <c r="E155" s="2627"/>
      <c r="I155" s="352"/>
      <c r="J155" s="3707"/>
      <c r="K155" s="3708"/>
      <c r="P155" s="3707"/>
      <c r="Q155" s="3708"/>
      <c r="V155" s="2799"/>
      <c r="W155" s="3632"/>
      <c r="X155" s="3633"/>
      <c r="AZ155" s="1808"/>
      <c r="BA155" s="1808"/>
    </row>
    <row r="156" spans="1:53" s="289" customFormat="1" ht="14.1" customHeight="1">
      <c r="B156" s="2627" t="s">
        <v>1778</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2305</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1779</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10532150</v>
      </c>
      <c r="K162" s="3655"/>
      <c r="M162" s="3656">
        <f>M146</f>
        <v>0</v>
      </c>
      <c r="N162" s="3657"/>
      <c r="P162" s="3654">
        <f>P146</f>
        <v>0</v>
      </c>
      <c r="Q162" s="3655"/>
      <c r="R162" s="3755" t="s">
        <v>3931</v>
      </c>
      <c r="S162" s="3756"/>
      <c r="T162" s="3756"/>
      <c r="V162" s="2799"/>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2120</v>
      </c>
      <c r="J164" s="3628">
        <f>J162-J163</f>
        <v>10532150</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6924</v>
      </c>
      <c r="I165" s="3146"/>
      <c r="J165" s="3630">
        <v>1.3</v>
      </c>
      <c r="K165" s="3631"/>
      <c r="M165" s="3716"/>
      <c r="N165" s="3716"/>
      <c r="P165" s="3630"/>
      <c r="Q165" s="3631"/>
      <c r="R165" s="3757" t="s">
        <v>3334</v>
      </c>
      <c r="S165" s="3758"/>
      <c r="T165" s="3759"/>
      <c r="U165" s="1250"/>
      <c r="V165" s="2799"/>
      <c r="W165" s="3632"/>
      <c r="X165" s="3633"/>
      <c r="AZ165" s="1808"/>
      <c r="BA165" s="1808"/>
    </row>
    <row r="166" spans="1:53" s="289" customFormat="1" ht="14.1" customHeight="1">
      <c r="B166" s="289" t="s">
        <v>1962</v>
      </c>
      <c r="J166" s="3628">
        <f>J164*J165</f>
        <v>13691795</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1953</v>
      </c>
      <c r="J168" s="3628">
        <f>J166*J167</f>
        <v>13691795</v>
      </c>
      <c r="K168" s="3629"/>
      <c r="M168" s="3628">
        <f>M166*M167</f>
        <v>0</v>
      </c>
      <c r="N168" s="3629"/>
      <c r="P168" s="3628">
        <f>P166*P167</f>
        <v>0</v>
      </c>
      <c r="Q168" s="3629"/>
      <c r="V168" s="2799"/>
      <c r="W168" s="3632"/>
      <c r="X168" s="3633"/>
      <c r="AZ168" s="1808"/>
      <c r="BA168" s="1808"/>
    </row>
    <row r="169" spans="1:53" s="289" customFormat="1" ht="14.1" customHeight="1">
      <c r="B169" s="289" t="s">
        <v>1954</v>
      </c>
      <c r="J169" s="3630">
        <v>0.09</v>
      </c>
      <c r="K169" s="3631"/>
      <c r="M169" s="3630"/>
      <c r="N169" s="3631"/>
      <c r="P169" s="3630"/>
      <c r="Q169" s="3631"/>
      <c r="V169" s="2799"/>
      <c r="W169" s="3632"/>
      <c r="X169" s="3633"/>
      <c r="AZ169" s="1808"/>
      <c r="BA169" s="1808"/>
    </row>
    <row r="170" spans="1:53" s="289" customFormat="1" ht="14.1" customHeight="1" thickBot="1">
      <c r="B170" s="289" t="s">
        <v>2424</v>
      </c>
      <c r="J170" s="3719">
        <f>J168*J169</f>
        <v>1232261.55</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1232261</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4126</v>
      </c>
      <c r="H175" s="2826"/>
      <c r="I175" s="2826"/>
      <c r="M175" s="509"/>
      <c r="O175" s="2827"/>
      <c r="P175" s="2827"/>
      <c r="Q175" s="2827"/>
      <c r="R175" s="2827"/>
      <c r="S175" s="2827"/>
      <c r="T175" s="2827"/>
      <c r="U175" s="2827"/>
      <c r="V175" s="2827"/>
      <c r="AZ175" s="1808"/>
      <c r="BA175" s="1808"/>
    </row>
    <row r="176" spans="1:53" s="166" customFormat="1" ht="15" customHeight="1">
      <c r="B176" s="166" t="s">
        <v>4128</v>
      </c>
      <c r="J176" s="3623">
        <f>G146</f>
        <v>12387336</v>
      </c>
      <c r="K176" s="3624"/>
      <c r="L176" s="3625"/>
      <c r="V176" s="2828"/>
      <c r="W176" s="2829"/>
      <c r="AZ176" s="1808"/>
      <c r="BA176" s="1808"/>
    </row>
    <row r="177" spans="1:53" s="166" customFormat="1" ht="13.5" customHeight="1">
      <c r="B177" s="166" t="s">
        <v>4130</v>
      </c>
      <c r="J177" s="3623">
        <f>'Part IV-A-Uses of Funds'!$G$92+'Part IV-A-Uses of Funds'!$G$114+SUM('Part IV-A-Uses of Funds'!$G$130:$H$132)</f>
        <v>388432</v>
      </c>
      <c r="K177" s="3624"/>
      <c r="L177" s="3625"/>
      <c r="V177" s="2828"/>
      <c r="W177" s="2829"/>
      <c r="AZ177" s="1808"/>
      <c r="BA177" s="1808"/>
    </row>
    <row r="178" spans="1:53" s="166" customFormat="1" ht="13.5" customHeight="1">
      <c r="B178" s="2729" t="s">
        <v>4129</v>
      </c>
      <c r="J178" s="3623">
        <f>J176-J177</f>
        <v>11998904</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2597</v>
      </c>
      <c r="C179" s="2729"/>
      <c r="D179" s="2729"/>
      <c r="J179" s="3623">
        <f>'Part VIII-Threshold Criteria'!$P$63</f>
        <v>12000192.5</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4131</v>
      </c>
      <c r="J182" s="3733">
        <f>MIN(J176,J179+J177)</f>
        <v>12387336</v>
      </c>
      <c r="K182" s="3734"/>
      <c r="L182" s="3735"/>
      <c r="M182" s="3729" t="s">
        <v>4142</v>
      </c>
      <c r="N182" s="3746"/>
      <c r="O182" s="3746"/>
      <c r="P182" s="3746"/>
      <c r="Q182" s="3746"/>
      <c r="R182" s="3730"/>
      <c r="S182" s="3729" t="s">
        <v>3314</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110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2131</v>
      </c>
      <c r="J184" s="3628">
        <f>+J182-J183</f>
        <v>12387226</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1238722.6000000001</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1.24</v>
      </c>
      <c r="K188" s="3722"/>
      <c r="L188" s="3723"/>
      <c r="M188" s="2635" t="s">
        <v>1241</v>
      </c>
      <c r="N188" s="3724">
        <v>0.85</v>
      </c>
      <c r="O188" s="3725"/>
      <c r="P188" s="2635" t="s">
        <v>583</v>
      </c>
      <c r="Q188" s="3724">
        <v>0.39</v>
      </c>
      <c r="R188" s="3725"/>
      <c r="V188" s="2799"/>
      <c r="W188" s="3632"/>
      <c r="X188" s="3633"/>
      <c r="AZ188" s="1808"/>
      <c r="BA188" s="1808"/>
    </row>
    <row r="189" spans="1:53" s="289" customFormat="1" ht="14.1" customHeight="1" thickBot="1">
      <c r="B189" s="291" t="s">
        <v>1374</v>
      </c>
      <c r="J189" s="3590">
        <f>ROUNDDOWN(IF(J188=0,"",J186/J188),0)</f>
        <v>998969</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4127</v>
      </c>
      <c r="H191" s="345"/>
      <c r="I191" s="345"/>
      <c r="L191" s="2627"/>
      <c r="M191" s="450"/>
      <c r="N191" s="2627"/>
      <c r="O191" s="2627"/>
      <c r="P191" s="2627"/>
      <c r="Q191" s="1728" t="s">
        <v>6539</v>
      </c>
      <c r="R191" s="170"/>
      <c r="S191" s="3616" t="str">
        <f>'Part I-Project Information'!$H$105</f>
        <v>Other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726">
        <v>998969</v>
      </c>
      <c r="K193" s="3727"/>
      <c r="L193" s="3728"/>
      <c r="M193" s="307"/>
      <c r="Q193" s="279" t="s">
        <v>367</v>
      </c>
      <c r="R193" s="465"/>
      <c r="S193" s="3614" t="str">
        <f>'Part IX Scoring Criteria'!$M$43</f>
        <v>New Supply</v>
      </c>
      <c r="T193" s="3615"/>
      <c r="U193" s="1704" t="str">
        <f>IF(OR(S191="Atlanta Metro", "Other Metro"), "Metro", IF(S191="Rural","Rural",""))</f>
        <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4280</v>
      </c>
      <c r="J195" s="3726">
        <v>998900</v>
      </c>
      <c r="K195" s="3727"/>
      <c r="L195" s="3728"/>
      <c r="M195" s="3613" t="str">
        <f>IF(J193=0,"",IF(J195&gt;J193,"Request can't exceed Maximum - REVISE (Try Round Down)!",""))</f>
        <v/>
      </c>
      <c r="N195" s="3613"/>
      <c r="O195" s="3613"/>
      <c r="P195" s="3613"/>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4281</v>
      </c>
      <c r="D197" s="307"/>
      <c r="E197" s="307"/>
      <c r="F197" s="2618"/>
      <c r="J197" s="3742">
        <f>IF(J195="",0,+MIN(J193,J195))</f>
        <v>998900</v>
      </c>
      <c r="K197" s="3743"/>
      <c r="L197" s="3744"/>
      <c r="M197" s="3613"/>
      <c r="N197" s="3613"/>
      <c r="O197" s="3613"/>
      <c r="P197" s="3613"/>
      <c r="Q197" s="3618" t="s">
        <v>6540</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7010</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2542</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QGyy/t9vRrqwy242AcpjjTKB4sty2CXZ3pLoTmHRVqnlVNrev8xMAtoofqGffCxeJUbYJLG9OGOe9vaICXsfuA==" saltValue="P0raPDykLY6cYAbkee48C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2021-050 - Sparrow Pointe  -  Rome  -  Floyd,  County</v>
      </c>
      <c r="B1" s="3771"/>
      <c r="C1" s="3771"/>
      <c r="D1" s="3771"/>
      <c r="E1" s="3771"/>
      <c r="F1" s="3771"/>
      <c r="G1" s="3771"/>
      <c r="H1" s="3771"/>
      <c r="I1" s="819"/>
      <c r="J1" s="819"/>
      <c r="K1" s="819"/>
      <c r="L1" s="819"/>
      <c r="M1" s="819"/>
      <c r="N1" s="819"/>
    </row>
    <row r="2" spans="1:14" ht="9" customHeight="1"/>
    <row r="3" spans="1:14" ht="57" customHeight="1">
      <c r="A3" s="3772" t="s">
        <v>3345</v>
      </c>
      <c r="B3" s="3773"/>
      <c r="C3" s="3773"/>
      <c r="D3" s="3773"/>
      <c r="E3" s="3773"/>
      <c r="F3" s="3773"/>
      <c r="G3" s="3773"/>
      <c r="H3" s="3774"/>
    </row>
    <row r="4" spans="1:14" ht="6" customHeight="1"/>
    <row r="5" spans="1:14" ht="38.25" customHeight="1">
      <c r="A5" s="3775" t="s">
        <v>3412</v>
      </c>
      <c r="B5" s="3775"/>
      <c r="C5" s="3775"/>
      <c r="D5" s="3775"/>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3339</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3339</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3339</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3338</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3339</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3339</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3339</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3339</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3339</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3340</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3339</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3339</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3341</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3339</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Community Improvement Fund</v>
      </c>
      <c r="B71" s="3789"/>
      <c r="C71" s="3789"/>
      <c r="D71" s="3790"/>
      <c r="F71" s="3785" t="s">
        <v>6997</v>
      </c>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3339</v>
      </c>
      <c r="B74" s="828">
        <f>'Part IV-A-Uses of Funds'!$G$134</f>
        <v>50000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3342</v>
      </c>
      <c r="B76" s="823"/>
      <c r="C76" s="822"/>
      <c r="D76" s="822"/>
      <c r="E76" s="822"/>
      <c r="F76" s="822"/>
      <c r="G76" s="824"/>
    </row>
    <row r="77" spans="1:8" s="2836" customFormat="1" ht="41.25" customHeight="1">
      <c r="A77" s="3788">
        <f>'Part IV-A-Uses of Funds'!$C$143</f>
        <v>0</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3339</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kR6oSDXAavugf+7PowVvMsr86RnTmqdV0tOIzHpGOjtLmhdVu0jOnU1xY3nXC8bOpB85wpxFSBbJfyGe2553KQ==" saltValue="AIknDjz90xeTAxsGORWj9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2021-050 Sparrow Pointe, Rome, Floyd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6" t="str">
        <f>'Part I-Project Information'!$B$7</f>
        <v>2021 Core Application</v>
      </c>
      <c r="C3" s="3806"/>
      <c r="D3" s="3806"/>
      <c r="E3" s="3806"/>
      <c r="F3" s="4" t="s">
        <v>3826</v>
      </c>
      <c r="I3" s="2647" t="str">
        <f>VLOOKUP('Part I-Project Information'!$J$40,'DCA Underwriting Assumptions'!$G$174:$H$333,2)</f>
        <v>North</v>
      </c>
    </row>
    <row r="4" spans="1:25" s="8" customFormat="1" ht="6" customHeight="1" thickBot="1"/>
    <row r="5" spans="1:25">
      <c r="A5" s="249" t="s">
        <v>6834</v>
      </c>
      <c r="O5" s="3807" t="s">
        <v>6833</v>
      </c>
      <c r="P5" s="3808"/>
      <c r="Q5" s="3808"/>
      <c r="R5" s="3808"/>
      <c r="S5" s="3808"/>
      <c r="T5" s="3808"/>
      <c r="U5" s="3809"/>
      <c r="V5" s="474"/>
      <c r="W5" s="474"/>
      <c r="X5" s="474"/>
      <c r="Y5" s="474"/>
    </row>
    <row r="6" spans="1:25" ht="6" customHeight="1">
      <c r="A6" s="8"/>
      <c r="O6" s="3810"/>
      <c r="P6" s="3811"/>
      <c r="Q6" s="3811"/>
      <c r="R6" s="3811"/>
      <c r="S6" s="3811"/>
      <c r="T6" s="3811"/>
      <c r="U6" s="3812"/>
      <c r="V6" s="474"/>
      <c r="W6" s="474"/>
      <c r="X6" s="474"/>
      <c r="Y6" s="474"/>
    </row>
    <row r="7" spans="1:25" s="8" customFormat="1" ht="13.5" customHeight="1">
      <c r="A7" s="13" t="s">
        <v>586</v>
      </c>
      <c r="B7" s="13" t="s">
        <v>2126</v>
      </c>
      <c r="F7" s="1" t="s">
        <v>2401</v>
      </c>
      <c r="G7" s="1"/>
      <c r="H7" s="1"/>
      <c r="I7" s="3802" t="s">
        <v>6964</v>
      </c>
      <c r="J7" s="3792"/>
      <c r="K7" s="3792"/>
      <c r="L7" s="3792"/>
      <c r="M7" s="3793"/>
      <c r="O7" s="3810"/>
      <c r="P7" s="3811"/>
      <c r="Q7" s="3811"/>
      <c r="R7" s="3811"/>
      <c r="S7" s="3811"/>
      <c r="T7" s="3811"/>
      <c r="U7" s="3812"/>
      <c r="V7" s="474"/>
      <c r="W7" s="474"/>
      <c r="X7" s="474"/>
      <c r="Y7" s="474"/>
    </row>
    <row r="8" spans="1:25" s="8" customFormat="1" ht="13.35" customHeight="1">
      <c r="A8" s="13"/>
      <c r="F8" s="1" t="s">
        <v>606</v>
      </c>
      <c r="G8" s="1"/>
      <c r="H8" s="33"/>
      <c r="I8" s="3803">
        <v>44197</v>
      </c>
      <c r="J8" s="3795"/>
      <c r="K8" s="6" t="s">
        <v>514</v>
      </c>
      <c r="L8" s="3796" t="s">
        <v>6965</v>
      </c>
      <c r="M8" s="3797"/>
      <c r="O8" s="3810"/>
      <c r="P8" s="3811"/>
      <c r="Q8" s="3811"/>
      <c r="R8" s="3811"/>
      <c r="S8" s="3811"/>
      <c r="T8" s="3811"/>
      <c r="U8" s="3812"/>
      <c r="V8" s="474"/>
      <c r="W8" s="474"/>
      <c r="X8" s="474"/>
      <c r="Y8" s="474"/>
    </row>
    <row r="9" spans="1:25" s="8" customFormat="1" ht="4.5" customHeight="1">
      <c r="A9" s="13"/>
      <c r="O9" s="3810"/>
      <c r="P9" s="3811"/>
      <c r="Q9" s="3811"/>
      <c r="R9" s="3811"/>
      <c r="S9" s="3811"/>
      <c r="T9" s="3811"/>
      <c r="U9" s="3812"/>
      <c r="V9" s="474"/>
      <c r="W9" s="474"/>
      <c r="X9" s="474"/>
      <c r="Y9" s="474"/>
    </row>
    <row r="10" spans="1:25" s="13" customFormat="1" ht="13.5" customHeight="1">
      <c r="B10" s="243"/>
      <c r="C10" s="243"/>
      <c r="D10" s="243"/>
      <c r="E10" s="243"/>
      <c r="F10" s="3804" t="s">
        <v>580</v>
      </c>
      <c r="G10" s="3804"/>
      <c r="I10" s="3805" t="s">
        <v>192</v>
      </c>
      <c r="J10" s="3805"/>
      <c r="K10" s="3805"/>
      <c r="L10" s="3805"/>
      <c r="M10" s="3805"/>
      <c r="O10" s="3810"/>
      <c r="P10" s="3811"/>
      <c r="Q10" s="3811"/>
      <c r="R10" s="3811"/>
      <c r="S10" s="3811"/>
      <c r="T10" s="3811"/>
      <c r="U10" s="3812"/>
    </row>
    <row r="11" spans="1:25" s="13" customFormat="1" ht="13.5" customHeight="1">
      <c r="B11" s="243" t="s">
        <v>765</v>
      </c>
      <c r="D11" s="243" t="s">
        <v>1533</v>
      </c>
      <c r="F11" s="2646" t="s">
        <v>612</v>
      </c>
      <c r="G11" s="2646" t="s">
        <v>1764</v>
      </c>
      <c r="I11" s="244" t="s">
        <v>539</v>
      </c>
      <c r="J11" s="245">
        <v>1</v>
      </c>
      <c r="K11" s="245">
        <v>2</v>
      </c>
      <c r="L11" s="245">
        <v>3</v>
      </c>
      <c r="M11" s="245">
        <v>4</v>
      </c>
      <c r="O11" s="3810"/>
      <c r="P11" s="3811"/>
      <c r="Q11" s="3811"/>
      <c r="R11" s="3811"/>
      <c r="S11" s="3811"/>
      <c r="T11" s="3811"/>
      <c r="U11" s="3812"/>
    </row>
    <row r="12" spans="1:25" s="8" customFormat="1" ht="12" customHeight="1" thickBot="1">
      <c r="B12" s="1346" t="s">
        <v>1766</v>
      </c>
      <c r="C12" s="1347"/>
      <c r="D12" s="3798" t="s">
        <v>6925</v>
      </c>
      <c r="E12" s="3799"/>
      <c r="F12" s="2839" t="s">
        <v>422</v>
      </c>
      <c r="G12" s="2839"/>
      <c r="H12" s="908"/>
      <c r="I12" s="2840"/>
      <c r="J12" s="2840">
        <v>9</v>
      </c>
      <c r="K12" s="2840">
        <v>11</v>
      </c>
      <c r="L12" s="2840"/>
      <c r="M12" s="2840"/>
      <c r="O12" s="3813"/>
      <c r="P12" s="3814"/>
      <c r="Q12" s="3814"/>
      <c r="R12" s="3814"/>
      <c r="S12" s="3814"/>
      <c r="T12" s="3814"/>
      <c r="U12" s="3815"/>
    </row>
    <row r="13" spans="1:25" s="8" customFormat="1" ht="12" customHeight="1">
      <c r="B13" s="1348" t="s">
        <v>1531</v>
      </c>
      <c r="C13" s="1349"/>
      <c r="D13" s="3823" t="s">
        <v>1530</v>
      </c>
      <c r="E13" s="3824"/>
      <c r="F13" s="2841" t="s">
        <v>422</v>
      </c>
      <c r="G13" s="2841"/>
      <c r="H13" s="907"/>
      <c r="I13" s="2842"/>
      <c r="J13" s="2842">
        <v>7</v>
      </c>
      <c r="K13" s="2842">
        <v>10</v>
      </c>
      <c r="L13" s="2843"/>
      <c r="M13" s="2843"/>
      <c r="O13" s="3816" t="s">
        <v>3411</v>
      </c>
      <c r="P13" s="3816"/>
      <c r="Q13" s="3816"/>
    </row>
    <row r="14" spans="1:25" s="8" customFormat="1" ht="12" customHeight="1">
      <c r="B14" s="1350" t="s">
        <v>1532</v>
      </c>
      <c r="C14" s="1351"/>
      <c r="D14" s="3823" t="s">
        <v>1530</v>
      </c>
      <c r="E14" s="3824"/>
      <c r="F14" s="2841" t="s">
        <v>422</v>
      </c>
      <c r="G14" s="2841"/>
      <c r="H14" s="246"/>
      <c r="I14" s="2842"/>
      <c r="J14" s="2842">
        <v>14</v>
      </c>
      <c r="K14" s="2842">
        <v>19</v>
      </c>
      <c r="L14" s="2843"/>
      <c r="M14" s="2843"/>
      <c r="O14" s="3816"/>
      <c r="P14" s="3816"/>
      <c r="Q14" s="3816"/>
    </row>
    <row r="15" spans="1:25" s="8" customFormat="1" ht="12" customHeight="1">
      <c r="B15" s="1352" t="s">
        <v>447</v>
      </c>
      <c r="C15" s="1353"/>
      <c r="D15" s="1352" t="s">
        <v>1530</v>
      </c>
      <c r="E15" s="247"/>
      <c r="F15" s="2841" t="s">
        <v>422</v>
      </c>
      <c r="G15" s="2841"/>
      <c r="H15" s="906"/>
      <c r="I15" s="2842"/>
      <c r="J15" s="2842">
        <v>7</v>
      </c>
      <c r="K15" s="2842">
        <v>9</v>
      </c>
      <c r="L15" s="2843"/>
      <c r="M15" s="2843"/>
      <c r="O15" s="3816"/>
      <c r="P15" s="3816"/>
      <c r="Q15" s="3816"/>
    </row>
    <row r="16" spans="1:25" s="8" customFormat="1" ht="12" customHeight="1">
      <c r="B16" s="1354" t="s">
        <v>3405</v>
      </c>
      <c r="C16" s="1349"/>
      <c r="D16" s="1348" t="s">
        <v>1530</v>
      </c>
      <c r="E16" s="905"/>
      <c r="F16" s="2841"/>
      <c r="G16" s="2841" t="s">
        <v>422</v>
      </c>
      <c r="H16" s="907"/>
      <c r="I16" s="2842"/>
      <c r="J16" s="2842"/>
      <c r="K16" s="2842"/>
      <c r="L16" s="2843"/>
      <c r="M16" s="2843"/>
      <c r="O16" s="3816"/>
      <c r="P16" s="3816"/>
      <c r="Q16" s="3816"/>
    </row>
    <row r="17" spans="1:25" s="8" customFormat="1" ht="12" customHeight="1">
      <c r="B17" s="1354" t="s">
        <v>3406</v>
      </c>
      <c r="C17" s="1349"/>
      <c r="D17" s="1348" t="s">
        <v>1530</v>
      </c>
      <c r="E17" s="905"/>
      <c r="F17" s="2841"/>
      <c r="G17" s="2841" t="s">
        <v>422</v>
      </c>
      <c r="H17" s="907"/>
      <c r="I17" s="2842"/>
      <c r="J17" s="2842"/>
      <c r="K17" s="2842"/>
      <c r="L17" s="2843"/>
      <c r="M17" s="2843"/>
      <c r="O17" s="3816"/>
      <c r="P17" s="3816"/>
      <c r="Q17" s="3816"/>
    </row>
    <row r="18" spans="1:25" s="8" customFormat="1" ht="12" customHeight="1">
      <c r="B18" s="1355" t="s">
        <v>3407</v>
      </c>
      <c r="C18" s="1351"/>
      <c r="D18" s="1350" t="s">
        <v>1530</v>
      </c>
      <c r="E18" s="905"/>
      <c r="F18" s="2841" t="s">
        <v>422</v>
      </c>
      <c r="G18" s="2841"/>
      <c r="H18" s="246"/>
      <c r="I18" s="2842"/>
      <c r="J18" s="2842">
        <v>22</v>
      </c>
      <c r="K18" s="2842">
        <v>28</v>
      </c>
      <c r="L18" s="2843"/>
      <c r="M18" s="2843"/>
      <c r="O18" s="3816"/>
      <c r="P18" s="3816"/>
      <c r="Q18" s="3816"/>
    </row>
    <row r="19" spans="1:25" s="8" customFormat="1" ht="12" customHeight="1">
      <c r="B19" s="1352" t="s">
        <v>1321</v>
      </c>
      <c r="C19" s="1353"/>
      <c r="D19" s="1358" t="s">
        <v>3197</v>
      </c>
      <c r="E19" s="2844" t="s">
        <v>2769</v>
      </c>
      <c r="F19" s="2841" t="s">
        <v>422</v>
      </c>
      <c r="G19" s="2841"/>
      <c r="H19" s="906"/>
      <c r="I19" s="2842"/>
      <c r="J19" s="2842">
        <v>45</v>
      </c>
      <c r="K19" s="2842">
        <v>52</v>
      </c>
      <c r="L19" s="2843"/>
      <c r="M19" s="2843"/>
      <c r="O19" s="3816"/>
      <c r="P19" s="3816"/>
      <c r="Q19" s="3816"/>
    </row>
    <row r="20" spans="1:25" s="8" customFormat="1" ht="12" customHeight="1">
      <c r="B20" s="1356" t="s">
        <v>1765</v>
      </c>
      <c r="C20" s="1357"/>
      <c r="D20" s="248"/>
      <c r="E20" s="220"/>
      <c r="F20" s="2841"/>
      <c r="G20" s="2841" t="s">
        <v>422</v>
      </c>
      <c r="H20" s="907"/>
      <c r="I20" s="2842"/>
      <c r="J20" s="2842"/>
      <c r="K20" s="2842"/>
      <c r="L20" s="2843"/>
      <c r="M20" s="2843"/>
      <c r="O20" s="3816"/>
      <c r="P20" s="3816"/>
      <c r="Q20" s="3816"/>
    </row>
    <row r="21" spans="1:25" s="8" customFormat="1" ht="12" customHeight="1">
      <c r="B21" s="1356" t="s">
        <v>711</v>
      </c>
      <c r="C21" s="3825"/>
      <c r="D21" s="3826"/>
      <c r="E21" s="3827"/>
      <c r="F21" s="2845"/>
      <c r="G21" s="2845"/>
      <c r="H21" s="909"/>
      <c r="I21" s="2846"/>
      <c r="J21" s="2846"/>
      <c r="K21" s="2846"/>
      <c r="L21" s="2847"/>
      <c r="M21" s="2847"/>
      <c r="O21" s="3816"/>
      <c r="P21" s="3816"/>
      <c r="Q21" s="3816"/>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104</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7" t="s">
        <v>6833</v>
      </c>
      <c r="P23" s="3808"/>
      <c r="Q23" s="3808"/>
      <c r="R23" s="3808"/>
      <c r="S23" s="3808"/>
      <c r="T23" s="3808"/>
      <c r="U23" s="3809"/>
      <c r="V23" s="474"/>
      <c r="W23" s="474"/>
      <c r="X23" s="474"/>
      <c r="Y23" s="474"/>
    </row>
    <row r="24" spans="1:25" s="8" customFormat="1" ht="12.75" customHeight="1">
      <c r="A24" s="13" t="s">
        <v>710</v>
      </c>
      <c r="B24" s="13" t="s">
        <v>2127</v>
      </c>
      <c r="F24" s="1" t="s">
        <v>2401</v>
      </c>
      <c r="G24" s="1"/>
      <c r="H24" s="1"/>
      <c r="I24" s="3791"/>
      <c r="J24" s="3792"/>
      <c r="K24" s="3792"/>
      <c r="L24" s="3792"/>
      <c r="M24" s="3793"/>
      <c r="O24" s="3810"/>
      <c r="P24" s="3811"/>
      <c r="Q24" s="3811"/>
      <c r="R24" s="3811"/>
      <c r="S24" s="3811"/>
      <c r="T24" s="3811"/>
      <c r="U24" s="3812"/>
      <c r="V24" s="474"/>
      <c r="W24" s="474"/>
      <c r="X24" s="474"/>
      <c r="Y24" s="474"/>
    </row>
    <row r="25" spans="1:25" s="8" customFormat="1" ht="13.35" customHeight="1">
      <c r="A25" s="13"/>
      <c r="B25" s="13"/>
      <c r="F25" s="1" t="s">
        <v>606</v>
      </c>
      <c r="G25" s="1"/>
      <c r="H25" s="33"/>
      <c r="I25" s="3794"/>
      <c r="J25" s="3795"/>
      <c r="K25" s="6" t="s">
        <v>514</v>
      </c>
      <c r="L25" s="3796"/>
      <c r="M25" s="3797"/>
      <c r="O25" s="3810"/>
      <c r="P25" s="3811"/>
      <c r="Q25" s="3811"/>
      <c r="R25" s="3811"/>
      <c r="S25" s="3811"/>
      <c r="T25" s="3811"/>
      <c r="U25" s="3812"/>
      <c r="V25" s="474"/>
      <c r="W25" s="474"/>
      <c r="X25" s="474"/>
      <c r="Y25" s="474"/>
    </row>
    <row r="26" spans="1:25" s="8" customFormat="1" ht="4.5" customHeight="1">
      <c r="A26" s="13"/>
      <c r="O26" s="3810"/>
      <c r="P26" s="3811"/>
      <c r="Q26" s="3811"/>
      <c r="R26" s="3811"/>
      <c r="S26" s="3811"/>
      <c r="T26" s="3811"/>
      <c r="U26" s="3812"/>
      <c r="V26" s="474"/>
      <c r="W26" s="474"/>
      <c r="X26" s="474"/>
      <c r="Y26" s="474"/>
    </row>
    <row r="27" spans="1:25" s="13" customFormat="1">
      <c r="B27" s="243"/>
      <c r="C27" s="243"/>
      <c r="D27" s="243"/>
      <c r="E27" s="243"/>
      <c r="F27" s="3804" t="s">
        <v>580</v>
      </c>
      <c r="G27" s="3804"/>
      <c r="I27" s="3805" t="s">
        <v>192</v>
      </c>
      <c r="J27" s="3805"/>
      <c r="K27" s="3805"/>
      <c r="L27" s="3805"/>
      <c r="M27" s="3805"/>
      <c r="O27" s="3810"/>
      <c r="P27" s="3811"/>
      <c r="Q27" s="3811"/>
      <c r="R27" s="3811"/>
      <c r="S27" s="3811"/>
      <c r="T27" s="3811"/>
      <c r="U27" s="3812"/>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10"/>
      <c r="P28" s="3811"/>
      <c r="Q28" s="3811"/>
      <c r="R28" s="3811"/>
      <c r="S28" s="3811"/>
      <c r="T28" s="3811"/>
      <c r="U28" s="3812"/>
    </row>
    <row r="29" spans="1:25" s="8" customFormat="1" ht="12" customHeight="1">
      <c r="B29" s="1346" t="s">
        <v>1766</v>
      </c>
      <c r="C29" s="1347"/>
      <c r="D29" s="3798" t="s">
        <v>1736</v>
      </c>
      <c r="E29" s="3799"/>
      <c r="F29" s="2839"/>
      <c r="G29" s="2839"/>
      <c r="H29" s="908"/>
      <c r="I29" s="2840"/>
      <c r="J29" s="2840"/>
      <c r="K29" s="2840"/>
      <c r="L29" s="2840"/>
      <c r="M29" s="2840"/>
      <c r="O29" s="3810"/>
      <c r="P29" s="3811"/>
      <c r="Q29" s="3811"/>
      <c r="R29" s="3811"/>
      <c r="S29" s="3811"/>
      <c r="T29" s="3811"/>
      <c r="U29" s="3812"/>
      <c r="V29" s="13"/>
      <c r="W29" s="13"/>
      <c r="X29" s="13"/>
      <c r="Y29" s="13"/>
    </row>
    <row r="30" spans="1:25" s="8" customFormat="1" ht="12" customHeight="1" thickBot="1">
      <c r="B30" s="1348" t="s">
        <v>1531</v>
      </c>
      <c r="C30" s="1349"/>
      <c r="D30" s="3823" t="s">
        <v>1736</v>
      </c>
      <c r="E30" s="3824"/>
      <c r="F30" s="2841"/>
      <c r="G30" s="2841"/>
      <c r="H30" s="907"/>
      <c r="I30" s="2842"/>
      <c r="J30" s="2842"/>
      <c r="K30" s="2842"/>
      <c r="L30" s="2843"/>
      <c r="M30" s="2843"/>
      <c r="O30" s="3813"/>
      <c r="P30" s="3814"/>
      <c r="Q30" s="3814"/>
      <c r="R30" s="3814"/>
      <c r="S30" s="3814"/>
      <c r="T30" s="3814"/>
      <c r="U30" s="3815"/>
    </row>
    <row r="31" spans="1:25" s="8" customFormat="1" ht="12" customHeight="1">
      <c r="B31" s="1350" t="s">
        <v>1532</v>
      </c>
      <c r="C31" s="1351"/>
      <c r="D31" s="3823" t="s">
        <v>1736</v>
      </c>
      <c r="E31" s="3824"/>
      <c r="F31" s="2841"/>
      <c r="G31" s="2841"/>
      <c r="H31" s="246"/>
      <c r="I31" s="2842"/>
      <c r="J31" s="2842"/>
      <c r="K31" s="2842"/>
      <c r="L31" s="2843"/>
      <c r="M31" s="2843"/>
      <c r="O31" s="3816" t="s">
        <v>3411</v>
      </c>
      <c r="P31" s="3816"/>
      <c r="Q31" s="3816"/>
    </row>
    <row r="32" spans="1:25" s="8" customFormat="1" ht="12" customHeight="1">
      <c r="B32" s="1352" t="s">
        <v>447</v>
      </c>
      <c r="C32" s="1353"/>
      <c r="D32" s="1352" t="s">
        <v>1530</v>
      </c>
      <c r="E32" s="247"/>
      <c r="F32" s="2841"/>
      <c r="G32" s="2841"/>
      <c r="H32" s="906"/>
      <c r="I32" s="2842"/>
      <c r="J32" s="2842"/>
      <c r="K32" s="2842"/>
      <c r="L32" s="2843"/>
      <c r="M32" s="2843"/>
      <c r="O32" s="3816"/>
      <c r="P32" s="3816"/>
      <c r="Q32" s="3816"/>
    </row>
    <row r="33" spans="1:19" s="8" customFormat="1" ht="12" customHeight="1">
      <c r="B33" s="1354" t="s">
        <v>3405</v>
      </c>
      <c r="C33" s="1349"/>
      <c r="D33" s="1348" t="s">
        <v>1530</v>
      </c>
      <c r="E33" s="905"/>
      <c r="F33" s="2841"/>
      <c r="G33" s="2841"/>
      <c r="H33" s="907"/>
      <c r="I33" s="2842"/>
      <c r="J33" s="2842"/>
      <c r="K33" s="2842"/>
      <c r="L33" s="2843"/>
      <c r="M33" s="2843"/>
      <c r="O33" s="3816"/>
      <c r="P33" s="3816"/>
      <c r="Q33" s="3816"/>
    </row>
    <row r="34" spans="1:19" s="8" customFormat="1" ht="12" customHeight="1">
      <c r="B34" s="1354" t="s">
        <v>3406</v>
      </c>
      <c r="C34" s="1349"/>
      <c r="D34" s="1348" t="s">
        <v>1530</v>
      </c>
      <c r="E34" s="905"/>
      <c r="F34" s="2841"/>
      <c r="G34" s="2841"/>
      <c r="H34" s="907"/>
      <c r="I34" s="2842"/>
      <c r="J34" s="2842"/>
      <c r="K34" s="2842"/>
      <c r="L34" s="2843"/>
      <c r="M34" s="2843"/>
      <c r="O34" s="3816"/>
      <c r="P34" s="3816"/>
      <c r="Q34" s="3816"/>
    </row>
    <row r="35" spans="1:19" s="8" customFormat="1" ht="12" customHeight="1">
      <c r="B35" s="1355" t="s">
        <v>3407</v>
      </c>
      <c r="C35" s="1351"/>
      <c r="D35" s="1350" t="s">
        <v>1530</v>
      </c>
      <c r="E35" s="905"/>
      <c r="F35" s="2841"/>
      <c r="G35" s="2841"/>
      <c r="H35" s="246"/>
      <c r="I35" s="2842"/>
      <c r="J35" s="2842"/>
      <c r="K35" s="2842"/>
      <c r="L35" s="2843"/>
      <c r="M35" s="2843"/>
      <c r="O35" s="3816"/>
      <c r="P35" s="3816"/>
      <c r="Q35" s="3816"/>
    </row>
    <row r="36" spans="1:19" s="8" customFormat="1" ht="12" customHeight="1">
      <c r="B36" s="1352" t="s">
        <v>1321</v>
      </c>
      <c r="C36" s="1353"/>
      <c r="D36" s="1358" t="s">
        <v>3197</v>
      </c>
      <c r="E36" s="2844" t="s">
        <v>193</v>
      </c>
      <c r="F36" s="2841"/>
      <c r="G36" s="2841"/>
      <c r="H36" s="906"/>
      <c r="I36" s="2842"/>
      <c r="J36" s="2842"/>
      <c r="K36" s="2842"/>
      <c r="L36" s="2843"/>
      <c r="M36" s="2843"/>
      <c r="O36" s="3816"/>
      <c r="P36" s="3816"/>
      <c r="Q36" s="3816"/>
    </row>
    <row r="37" spans="1:19" s="8" customFormat="1" ht="12" customHeight="1">
      <c r="B37" s="1356" t="s">
        <v>1765</v>
      </c>
      <c r="C37" s="1357"/>
      <c r="D37" s="248"/>
      <c r="E37" s="220"/>
      <c r="F37" s="2841"/>
      <c r="G37" s="2841"/>
      <c r="H37" s="907"/>
      <c r="I37" s="2842"/>
      <c r="J37" s="2842"/>
      <c r="K37" s="2842"/>
      <c r="L37" s="2843"/>
      <c r="M37" s="2843"/>
      <c r="O37" s="3816"/>
      <c r="P37" s="3816"/>
      <c r="Q37" s="3816"/>
    </row>
    <row r="38" spans="1:19" s="8" customFormat="1" ht="12" customHeight="1">
      <c r="B38" s="1356" t="s">
        <v>711</v>
      </c>
      <c r="C38" s="3825"/>
      <c r="D38" s="3826"/>
      <c r="E38" s="3827"/>
      <c r="F38" s="2845"/>
      <c r="G38" s="2845"/>
      <c r="H38" s="909"/>
      <c r="I38" s="2846"/>
      <c r="J38" s="2846"/>
      <c r="K38" s="2846"/>
      <c r="L38" s="2847"/>
      <c r="M38" s="2847"/>
      <c r="O38" s="3816"/>
      <c r="P38" s="3816"/>
      <c r="Q38" s="3816"/>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6"/>
      <c r="P39" s="3816"/>
      <c r="Q39" s="3816"/>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7" t="s">
        <v>7004</v>
      </c>
      <c r="C43" s="3818"/>
      <c r="D43" s="3818"/>
      <c r="E43" s="3818"/>
      <c r="F43" s="3818"/>
      <c r="G43" s="3818"/>
      <c r="H43" s="3818"/>
      <c r="I43" s="3818"/>
      <c r="J43" s="3818"/>
      <c r="K43" s="3818"/>
      <c r="L43" s="3818"/>
      <c r="M43" s="3819"/>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20"/>
      <c r="C46" s="3821"/>
      <c r="D46" s="3821"/>
      <c r="E46" s="3821"/>
      <c r="F46" s="3821"/>
      <c r="G46" s="3821"/>
      <c r="H46" s="3821"/>
      <c r="I46" s="3821"/>
      <c r="J46" s="3821"/>
      <c r="K46" s="3821"/>
      <c r="L46" s="3821"/>
      <c r="M46" s="3822"/>
      <c r="N46" s="27"/>
      <c r="O46" s="3132"/>
      <c r="P46" s="3132"/>
      <c r="Q46" s="3132"/>
      <c r="R46" s="3132"/>
      <c r="S46" s="3132"/>
    </row>
  </sheetData>
  <sheetProtection algorithmName="SHA-512" hashValue="8fwnqwzc0iTJDrEoIcepftT886BYFXVVT5ojxkcgpHSH8zffFUJRWAH6eeC+PkmseUN4MQv8T1dLQf9DcbysSw==" saltValue="tgttXu8w/S+dZPXsYWK5L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67B7E2-043B-4463-86DE-4E253644DFD4}">
  <ds:schemaRefs>
    <ds:schemaRef ds:uri="http://schemas.microsoft.com/sharepoint/v3/contenttype/forms"/>
  </ds:schemaRefs>
</ds:datastoreItem>
</file>

<file path=customXml/itemProps2.xml><?xml version="1.0" encoding="utf-8"?>
<ds:datastoreItem xmlns:ds="http://schemas.openxmlformats.org/officeDocument/2006/customXml" ds:itemID="{9A906BB5-A826-43DC-98B1-333766FE6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9314F3-FCFB-4B34-B359-9D2948E0A08B}">
  <ds:schemaRefs>
    <ds:schemaRef ds:uri="http://purl.org/dc/terms/"/>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431100d4-4470-42c1-96bc-46686c1829ae"/>
    <ds:schemaRef ds:uri="4425f765-7ff5-4475-924d-a1e4ebf7f4e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2021-05-21T03:41:38Z</cp:lastPrinted>
  <dcterms:created xsi:type="dcterms:W3CDTF">2005-09-15T20:51:37Z</dcterms:created>
  <dcterms:modified xsi:type="dcterms:W3CDTF">2021-10-08T19:12:27Z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