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C6D5FA26-BFD2-4484-B72F-40C61BC4DA97}" xr6:coauthVersionLast="45" xr6:coauthVersionMax="45" xr10:uidLastSave="{00000000-0000-0000-0000-000000000000}"/>
  <workbookProtection workbookAlgorithmName="SHA-512" workbookHashValue="gwyvqpl5ruqxLauJfdpqt+LtoMgMsSoiXJCNOlxf4U4vJU+Yd5TzTPbV8YB+nwYH1fo4VNvuSVPaHWmvj+o8mA==" workbookSaltValue="7h6sVutsZnuI7fy0uR0oUg==" workbookSpinCount="100000" lockStructure="1"/>
  <bookViews>
    <workbookView xWindow="1095" yWindow="2010"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27" i="97" l="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l="1"/>
  <c r="C31" i="74"/>
  <c r="D31" i="74" s="1"/>
  <c r="E31" i="74" s="1"/>
  <c r="F31" i="74" s="1"/>
  <c r="G31" i="74" s="1"/>
  <c r="H31" i="74" s="1"/>
  <c r="I31" i="74" s="1"/>
  <c r="J31" i="74" s="1"/>
  <c r="K31" i="74" s="1"/>
  <c r="B63" i="74" s="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B41" i="74"/>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H26" i="87" l="1"/>
  <c r="H1156" i="97"/>
  <c r="H17" i="87"/>
  <c r="I1124" i="97"/>
  <c r="H12" i="87"/>
  <c r="D1124" i="97"/>
  <c r="H21" i="87"/>
  <c r="C1156" i="97"/>
  <c r="C12" i="86"/>
  <c r="B1138" i="97"/>
  <c r="H32" i="87"/>
  <c r="D1188" i="97"/>
  <c r="H23" i="87"/>
  <c r="E1156" i="97"/>
  <c r="H20" i="87"/>
  <c r="B1156" i="97"/>
  <c r="H34" i="87"/>
  <c r="F1188" i="97"/>
  <c r="H16" i="87"/>
  <c r="H1124" i="97"/>
  <c r="H10" i="87"/>
  <c r="B1124" i="97"/>
  <c r="H25" i="87"/>
  <c r="G1156" i="97"/>
  <c r="H39" i="87"/>
  <c r="K1188" i="97"/>
  <c r="C11" i="86"/>
  <c r="B1137" i="97"/>
  <c r="H15" i="87"/>
  <c r="G1124" i="97"/>
  <c r="C69" i="74"/>
  <c r="C1165" i="97" s="1"/>
  <c r="C1157" i="97"/>
  <c r="H36" i="87"/>
  <c r="H1188" i="97"/>
  <c r="H24" i="87"/>
  <c r="F1156" i="97"/>
  <c r="H38" i="87"/>
  <c r="J1188" i="97"/>
  <c r="H27" i="87"/>
  <c r="I1156" i="97"/>
  <c r="H14" i="87"/>
  <c r="F1124" i="97"/>
  <c r="H29" i="87"/>
  <c r="K1156" i="97"/>
  <c r="H44" i="87"/>
  <c r="F1218" i="97"/>
  <c r="H30" i="87"/>
  <c r="B1188" i="97"/>
  <c r="H41" i="87"/>
  <c r="C1218" i="97"/>
  <c r="H35" i="87"/>
  <c r="G1188" i="97"/>
  <c r="K27" i="87"/>
  <c r="I1157" i="97"/>
  <c r="H40" i="87"/>
  <c r="B1218" i="97"/>
  <c r="H13" i="87"/>
  <c r="E1124" i="97"/>
  <c r="H28" i="87"/>
  <c r="J1156" i="97"/>
  <c r="H42" i="87"/>
  <c r="D1218" i="97"/>
  <c r="H33" i="87"/>
  <c r="E1188" i="97"/>
  <c r="H18" i="87"/>
  <c r="J1124" i="97"/>
  <c r="H31" i="87"/>
  <c r="C1188" i="97"/>
  <c r="K24" i="87"/>
  <c r="F1157" i="97"/>
  <c r="H22" i="87"/>
  <c r="D1156" i="97"/>
  <c r="O2049" i="97"/>
  <c r="A963" i="97"/>
  <c r="J22" i="75"/>
  <c r="J862" i="97" s="1"/>
  <c r="L862" i="97" s="1"/>
  <c r="M862" i="97" s="1"/>
  <c r="L1980" i="97"/>
  <c r="Q1980" i="97"/>
  <c r="P479" i="97"/>
  <c r="K1122" i="97"/>
  <c r="D1122" i="97"/>
  <c r="C1122" i="97"/>
  <c r="J1186" i="97"/>
  <c r="H1154" i="97"/>
  <c r="G1186" i="97"/>
  <c r="F1186" i="97"/>
  <c r="H1186" i="97"/>
  <c r="N65" i="97"/>
  <c r="O65" i="97"/>
  <c r="P844" i="97"/>
  <c r="B40" i="74"/>
  <c r="C40" i="74" s="1"/>
  <c r="C1136" i="97" s="1"/>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K59" i="74"/>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C99" i="74"/>
  <c r="C1195" i="97" s="1"/>
  <c r="E32" i="86"/>
  <c r="F11" i="86"/>
  <c r="J59" i="74"/>
  <c r="J1155" i="97" s="1"/>
  <c r="F27" i="74"/>
  <c r="J91" i="74"/>
  <c r="J1187" i="97" s="1"/>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14" i="86"/>
  <c r="G51" i="86"/>
  <c r="C52" i="86"/>
  <c r="I31" i="86"/>
  <c r="G52" i="86"/>
  <c r="D51" i="86"/>
  <c r="H51" i="86"/>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E100" i="74" l="1"/>
  <c r="E1196" i="97" s="1"/>
  <c r="E1189" i="97"/>
  <c r="K31" i="87"/>
  <c r="C1189" i="97"/>
  <c r="F45" i="82"/>
  <c r="F1123" i="97"/>
  <c r="K34" i="87"/>
  <c r="F1189" i="97"/>
  <c r="G37" i="74"/>
  <c r="G1133" i="97" s="1"/>
  <c r="G1125" i="97"/>
  <c r="E37" i="74"/>
  <c r="E1133" i="97" s="1"/>
  <c r="E1125" i="97"/>
  <c r="B69" i="74"/>
  <c r="B1165" i="97" s="1"/>
  <c r="B1157" i="97"/>
  <c r="D37" i="74"/>
  <c r="D1133" i="97" s="1"/>
  <c r="D1125" i="97"/>
  <c r="E67" i="74"/>
  <c r="E1163" i="97" s="1"/>
  <c r="E1155" i="97"/>
  <c r="K45" i="82"/>
  <c r="K1123" i="97"/>
  <c r="L22" i="75"/>
  <c r="M22" i="75" s="1"/>
  <c r="E29" i="87"/>
  <c r="K1155" i="97"/>
  <c r="D69" i="74"/>
  <c r="D1165" i="97" s="1"/>
  <c r="D1157" i="97"/>
  <c r="I100" i="74"/>
  <c r="I1196" i="97" s="1"/>
  <c r="I1189" i="97"/>
  <c r="K14" i="87"/>
  <c r="F1125" i="97"/>
  <c r="K69" i="74"/>
  <c r="K1165" i="97" s="1"/>
  <c r="K1157" i="97"/>
  <c r="G100" i="74"/>
  <c r="G1196" i="97" s="1"/>
  <c r="G1189" i="97"/>
  <c r="K26" i="87"/>
  <c r="H1157" i="97"/>
  <c r="K43" i="87"/>
  <c r="E1219" i="97"/>
  <c r="R1213" i="97" s="1"/>
  <c r="S1213" i="97" s="1"/>
  <c r="E130" i="74"/>
  <c r="E1226" i="97" s="1"/>
  <c r="K44" i="87"/>
  <c r="F1219" i="97"/>
  <c r="K17" i="87"/>
  <c r="I1125" i="97"/>
  <c r="K23" i="87"/>
  <c r="E1157" i="97"/>
  <c r="K32" i="87"/>
  <c r="D1189" i="97"/>
  <c r="R1183" i="97" s="1"/>
  <c r="S1183" i="97" s="1"/>
  <c r="H100" i="74"/>
  <c r="H1196" i="97" s="1"/>
  <c r="H1189" i="97"/>
  <c r="C1160" i="97"/>
  <c r="D1128" i="97"/>
  <c r="J1128" i="97"/>
  <c r="E1128" i="97"/>
  <c r="G1128" i="97"/>
  <c r="E1160" i="97"/>
  <c r="K1128" i="97"/>
  <c r="B1128" i="97"/>
  <c r="B44" i="74"/>
  <c r="B1140" i="97" s="1"/>
  <c r="F1128" i="97"/>
  <c r="F1160" i="97"/>
  <c r="D1160" i="97"/>
  <c r="H1128" i="97"/>
  <c r="I1128" i="97"/>
  <c r="B1160" i="97"/>
  <c r="C1128" i="97"/>
  <c r="C10" i="86"/>
  <c r="B1136" i="97"/>
  <c r="D10" i="86"/>
  <c r="H29" i="95"/>
  <c r="E31" i="95"/>
  <c r="F29" i="95"/>
  <c r="G28" i="95"/>
  <c r="F25" i="95"/>
  <c r="I27" i="95"/>
  <c r="G31" i="95"/>
  <c r="E27" i="95"/>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M889" i="97"/>
  <c r="M890" i="97" s="1"/>
  <c r="O1059" i="97"/>
  <c r="O1058"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R1151" i="97" l="1"/>
  <c r="S1151" i="97" s="1"/>
  <c r="R1117" i="97"/>
  <c r="R1126" i="97"/>
  <c r="R1122" i="97"/>
  <c r="R1135" i="97"/>
  <c r="R1123" i="97"/>
  <c r="R1128" i="97"/>
  <c r="R1129" i="97"/>
  <c r="R1124" i="97"/>
  <c r="R1125" i="97"/>
  <c r="R1118" i="97"/>
  <c r="R1130" i="97"/>
  <c r="R1131" i="97"/>
  <c r="R1136" i="97"/>
  <c r="R1132" i="97"/>
  <c r="R1119" i="97"/>
  <c r="R1120" i="97"/>
  <c r="R1133" i="97"/>
  <c r="R1121" i="97"/>
  <c r="R1134" i="97"/>
  <c r="C44" i="74"/>
  <c r="R1127" i="97"/>
  <c r="E1127" i="97"/>
  <c r="D1127" i="97"/>
  <c r="J28" i="95"/>
  <c r="J26" i="95"/>
  <c r="J30" i="95"/>
  <c r="J25" i="95"/>
  <c r="J29"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C1140" i="97" l="1"/>
  <c r="D44" i="74"/>
  <c r="F10" i="86"/>
  <c r="E1136" i="97"/>
  <c r="B1117" i="97"/>
  <c r="M44" i="73"/>
  <c r="N42" i="73"/>
  <c r="K73" i="75"/>
  <c r="K85" i="75"/>
  <c r="K88" i="75"/>
  <c r="K79" i="75"/>
  <c r="K70" i="75"/>
  <c r="K76" i="75"/>
  <c r="K82"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D1140" i="97" l="1"/>
  <c r="E44" i="74"/>
  <c r="G10" i="86"/>
  <c r="F1136" i="97"/>
  <c r="E1117" i="97"/>
  <c r="C1117" i="97"/>
  <c r="D1117" i="97"/>
  <c r="F1117" i="97"/>
  <c r="H57" i="73"/>
  <c r="P176" i="75"/>
  <c r="H58" i="73"/>
  <c r="N56" i="73"/>
  <c r="O342" i="72"/>
  <c r="M85" i="75"/>
  <c r="M73" i="75"/>
  <c r="M79" i="75"/>
  <c r="M76" i="75"/>
  <c r="M88" i="75"/>
  <c r="M82" i="75"/>
  <c r="M70" i="75"/>
  <c r="O76" i="75"/>
  <c r="O79" i="75"/>
  <c r="O85" i="75"/>
  <c r="O82" i="75"/>
  <c r="O73" i="75"/>
  <c r="O88" i="75"/>
  <c r="O70" i="75"/>
  <c r="L85" i="75"/>
  <c r="L76" i="75"/>
  <c r="L70" i="75"/>
  <c r="L73" i="75"/>
  <c r="L82" i="75"/>
  <c r="L79" i="75"/>
  <c r="L88" i="75"/>
  <c r="N82" i="75"/>
  <c r="N70" i="75"/>
  <c r="N79" i="75"/>
  <c r="N73" i="75"/>
  <c r="N76" i="75"/>
  <c r="N88" i="75"/>
  <c r="N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H22" i="74" s="1"/>
  <c r="H1118" i="97" s="1"/>
  <c r="G24" i="74"/>
  <c r="G1120" i="97" s="1"/>
  <c r="G15" i="74"/>
  <c r="G1111" i="97" s="1"/>
  <c r="G21" i="74"/>
  <c r="P167" i="78"/>
  <c r="P168" i="78" s="1"/>
  <c r="P170" i="78" s="1"/>
  <c r="I53" i="73"/>
  <c r="H21" i="86"/>
  <c r="G22" i="86"/>
  <c r="E1140" i="97" l="1"/>
  <c r="F44" i="74"/>
  <c r="H10" i="86"/>
  <c r="G1136" i="97"/>
  <c r="G1117" i="97"/>
  <c r="N60" i="73"/>
  <c r="M69" i="73" s="1"/>
  <c r="Q232" i="75"/>
  <c r="N232" i="75"/>
  <c r="E174" i="90"/>
  <c r="E175" i="90" s="1"/>
  <c r="C66" i="84"/>
  <c r="S696" i="97"/>
  <c r="L330" i="72"/>
  <c r="K220" i="72"/>
  <c r="L108" i="72"/>
  <c r="M1762" i="97"/>
  <c r="L98" i="72"/>
  <c r="Q1072" i="97"/>
  <c r="N1072" i="97"/>
  <c r="Q1084" i="97"/>
  <c r="P79" i="75"/>
  <c r="P82" i="75"/>
  <c r="P73" i="75"/>
  <c r="P88" i="75"/>
  <c r="P85" i="75"/>
  <c r="P76" i="75"/>
  <c r="P70" i="75"/>
  <c r="G16" i="74"/>
  <c r="G1112" i="97" s="1"/>
  <c r="B111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S193" i="78"/>
  <c r="M401" i="72"/>
  <c r="E371" i="73"/>
  <c r="N371" i="73" s="1"/>
  <c r="N225" i="75"/>
  <c r="H40" i="74"/>
  <c r="L84" i="72"/>
  <c r="K52" i="84"/>
  <c r="I52" i="84"/>
  <c r="E52" i="84"/>
  <c r="B17" i="74"/>
  <c r="B39" i="74" s="1"/>
  <c r="B1135" i="97" s="1"/>
  <c r="D16" i="74"/>
  <c r="D1112" i="97" s="1"/>
  <c r="E16" i="74"/>
  <c r="E1112" i="97" s="1"/>
  <c r="C53" i="84"/>
  <c r="I53" i="84" s="1"/>
  <c r="I54" i="84" s="1"/>
  <c r="C16" i="74"/>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I66" i="84"/>
  <c r="E66" i="84"/>
  <c r="K66" i="84"/>
  <c r="G66" i="84"/>
  <c r="H24" i="74"/>
  <c r="H1120" i="97" s="1"/>
  <c r="I14" i="74"/>
  <c r="I22" i="74" s="1"/>
  <c r="I1118" i="97" s="1"/>
  <c r="H16" i="74"/>
  <c r="H1112" i="97" s="1"/>
  <c r="H15" i="74"/>
  <c r="H1111" i="97" s="1"/>
  <c r="H21" i="74"/>
  <c r="I21" i="86"/>
  <c r="I22" i="86" s="1"/>
  <c r="H22" i="86"/>
  <c r="G17" i="74" l="1"/>
  <c r="G1113" i="97" s="1"/>
  <c r="C1112" i="97"/>
  <c r="F1140" i="97"/>
  <c r="G44" i="74"/>
  <c r="I10" i="86"/>
  <c r="H1136" i="97"/>
  <c r="I1127" i="97"/>
  <c r="H1127" i="97"/>
  <c r="H53" i="82"/>
  <c r="H1117" i="97"/>
  <c r="F23" i="74"/>
  <c r="F1119" i="97" s="1"/>
  <c r="P71" i="75"/>
  <c r="P72" i="75" s="1"/>
  <c r="O71" i="75"/>
  <c r="N71" i="75"/>
  <c r="M71" i="75"/>
  <c r="L71" i="75"/>
  <c r="K71" i="75"/>
  <c r="H23" i="74"/>
  <c r="H1119" i="97" s="1"/>
  <c r="B1119" i="97"/>
  <c r="P77" i="75"/>
  <c r="P78" i="75" s="1"/>
  <c r="O77" i="75"/>
  <c r="M77" i="75"/>
  <c r="L77" i="75"/>
  <c r="N77" i="75"/>
  <c r="K77" i="75"/>
  <c r="N86" i="75"/>
  <c r="N87" i="75" s="1"/>
  <c r="P86" i="75"/>
  <c r="P87" i="75" s="1"/>
  <c r="M86" i="75"/>
  <c r="L86" i="75"/>
  <c r="O86" i="75"/>
  <c r="K86" i="75"/>
  <c r="P89" i="75"/>
  <c r="L89" i="75"/>
  <c r="M89" i="75"/>
  <c r="M90" i="75" s="1"/>
  <c r="K89" i="75"/>
  <c r="K90" i="75" s="1"/>
  <c r="N89" i="75"/>
  <c r="N90" i="75" s="1"/>
  <c r="O89" i="75"/>
  <c r="L1803" i="97"/>
  <c r="L1817" i="97"/>
  <c r="L1827" i="97"/>
  <c r="M2120" i="97"/>
  <c r="P74" i="75"/>
  <c r="P75" i="75" s="1"/>
  <c r="M74" i="75"/>
  <c r="M75" i="75" s="1"/>
  <c r="K74" i="75"/>
  <c r="K75" i="75" s="1"/>
  <c r="N74" i="75"/>
  <c r="O74" i="75"/>
  <c r="L74" i="75"/>
  <c r="P83" i="75"/>
  <c r="L83" i="75"/>
  <c r="L84" i="75" s="1"/>
  <c r="K83" i="75"/>
  <c r="K84" i="75" s="1"/>
  <c r="N83" i="75"/>
  <c r="N84" i="75" s="1"/>
  <c r="M83" i="75"/>
  <c r="M84" i="75" s="1"/>
  <c r="O83" i="75"/>
  <c r="P80" i="75"/>
  <c r="L80" i="75"/>
  <c r="O80" i="75"/>
  <c r="N80" i="75"/>
  <c r="N81" i="75" s="1"/>
  <c r="M80" i="75"/>
  <c r="M81" i="75" s="1"/>
  <c r="K80" i="75"/>
  <c r="K81"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O87" i="75"/>
  <c r="M87" i="75"/>
  <c r="K87" i="75"/>
  <c r="L87" i="75"/>
  <c r="N75" i="75"/>
  <c r="L75" i="75"/>
  <c r="O75" i="75"/>
  <c r="O78" i="75"/>
  <c r="M78" i="75"/>
  <c r="K78" i="75"/>
  <c r="N78" i="75"/>
  <c r="L78" i="75"/>
  <c r="L72" i="75"/>
  <c r="O72" i="75"/>
  <c r="N72" i="75"/>
  <c r="K72" i="75"/>
  <c r="M72" i="75"/>
  <c r="O84" i="75"/>
  <c r="O81" i="75"/>
  <c r="L81" i="75"/>
  <c r="L90" i="75"/>
  <c r="O90" i="75"/>
  <c r="P84" i="75"/>
  <c r="P81" i="75"/>
  <c r="P90" i="75"/>
  <c r="AF125" i="78"/>
  <c r="H19" i="84"/>
  <c r="AF122" i="78"/>
  <c r="D17" i="83"/>
  <c r="C19" i="84"/>
  <c r="F16" i="85"/>
  <c r="J179" i="78"/>
  <c r="M178" i="78" s="1"/>
  <c r="G20" i="74"/>
  <c r="G1116" i="97" s="1"/>
  <c r="H17" i="74"/>
  <c r="H1113" i="97" s="1"/>
  <c r="I24" i="74"/>
  <c r="I1120" i="97" s="1"/>
  <c r="J14" i="74"/>
  <c r="J22" i="74" s="1"/>
  <c r="J1118" i="97" s="1"/>
  <c r="I16" i="74"/>
  <c r="I1112" i="97" s="1"/>
  <c r="I15" i="74"/>
  <c r="I1111" i="97" s="1"/>
  <c r="I21" i="74"/>
  <c r="F13" i="86"/>
  <c r="G13" i="86"/>
  <c r="G39" i="74" l="1"/>
  <c r="G1135" i="97" s="1"/>
  <c r="J1127" i="97"/>
  <c r="I53" i="82"/>
  <c r="C20" i="74"/>
  <c r="C1116" i="97" s="1"/>
  <c r="H39" i="74"/>
  <c r="H1135" i="97" s="1"/>
  <c r="B25" i="74"/>
  <c r="B38" i="74" s="1"/>
  <c r="B1134" i="97" s="1"/>
  <c r="E39" i="74"/>
  <c r="E1135" i="97" s="1"/>
  <c r="B1121" i="97"/>
  <c r="F39" i="74"/>
  <c r="F1135" i="97" s="1"/>
  <c r="D39" i="74"/>
  <c r="D1135" i="97" s="1"/>
  <c r="C39" i="74"/>
  <c r="C1135" i="97" s="1"/>
  <c r="G1140" i="97"/>
  <c r="H44" i="74"/>
  <c r="C30" i="86"/>
  <c r="I1136" i="97"/>
  <c r="I1117" i="97"/>
  <c r="C33" i="86"/>
  <c r="D13" i="86"/>
  <c r="E13" i="86"/>
  <c r="H13" i="86"/>
  <c r="I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J182" i="78"/>
  <c r="J685" i="97" s="1"/>
  <c r="J687" i="97" s="1"/>
  <c r="J689" i="97" s="1"/>
  <c r="J692" i="97" s="1"/>
  <c r="I72" i="84"/>
  <c r="E72" i="84"/>
  <c r="K76" i="84"/>
  <c r="K73" i="84" s="1"/>
  <c r="C25" i="74"/>
  <c r="G25" i="74"/>
  <c r="K1127" i="97"/>
  <c r="J53" i="82"/>
  <c r="K14" i="74"/>
  <c r="K22" i="74" s="1"/>
  <c r="K1118" i="97" s="1"/>
  <c r="J24" i="74"/>
  <c r="J1120" i="97" s="1"/>
  <c r="J15" i="74"/>
  <c r="J1111" i="97" s="1"/>
  <c r="J16" i="74"/>
  <c r="J1112" i="97" s="1"/>
  <c r="J21" i="74"/>
  <c r="J23" i="74"/>
  <c r="J1119" i="97" s="1"/>
  <c r="I17" i="74"/>
  <c r="I1113" i="97" s="1"/>
  <c r="H20" i="74"/>
  <c r="H1116" i="97" s="1"/>
  <c r="B34" i="74" l="1"/>
  <c r="B1130" i="97" s="1"/>
  <c r="I39" i="74"/>
  <c r="I1135" i="97" s="1"/>
  <c r="G1121" i="97"/>
  <c r="G34" i="74"/>
  <c r="G1130" i="97" s="1"/>
  <c r="G38" i="74"/>
  <c r="G1134" i="97" s="1"/>
  <c r="C1121" i="97"/>
  <c r="C34" i="74"/>
  <c r="C1130" i="97" s="1"/>
  <c r="C38" i="74"/>
  <c r="C1134" i="97" s="1"/>
  <c r="H1140" i="97"/>
  <c r="I44" i="74"/>
  <c r="D30" i="86"/>
  <c r="J1136" i="97"/>
  <c r="J1117" i="97"/>
  <c r="S1117" i="97"/>
  <c r="K40" i="74"/>
  <c r="E25" i="74"/>
  <c r="G72" i="84"/>
  <c r="D25" i="74"/>
  <c r="B46" i="82"/>
  <c r="S21" i="74"/>
  <c r="C9" i="86"/>
  <c r="C17" i="86" s="1"/>
  <c r="C18" i="86" s="1"/>
  <c r="C20" i="86" s="1"/>
  <c r="C24" i="86" s="1"/>
  <c r="K6" i="86" s="1"/>
  <c r="G66" i="86" s="1"/>
  <c r="N92" i="85" s="1"/>
  <c r="F25" i="74"/>
  <c r="G44" i="82"/>
  <c r="G51" i="82" s="1"/>
  <c r="C33" i="74"/>
  <c r="C1129" i="97" s="1"/>
  <c r="S1118" i="97" s="1"/>
  <c r="J184" i="78"/>
  <c r="J186" i="78" s="1"/>
  <c r="C44" i="82"/>
  <c r="C46" i="82" s="1"/>
  <c r="G33" i="74"/>
  <c r="G1129" i="97" s="1"/>
  <c r="I20" i="74"/>
  <c r="I1116" i="97" s="1"/>
  <c r="K24" i="74"/>
  <c r="K1120" i="97" s="1"/>
  <c r="B46" i="74"/>
  <c r="B54" i="74" s="1"/>
  <c r="B1150" i="97" s="1"/>
  <c r="K15" i="74"/>
  <c r="K1111" i="97" s="1"/>
  <c r="K16" i="74"/>
  <c r="K1112" i="97" s="1"/>
  <c r="K21" i="74"/>
  <c r="K23" i="74"/>
  <c r="K1119" i="97" s="1"/>
  <c r="H25" i="74"/>
  <c r="D33" i="86"/>
  <c r="B1159" i="97"/>
  <c r="K53" i="82"/>
  <c r="J17" i="74"/>
  <c r="J1113" i="97" s="1"/>
  <c r="E34" i="74" l="1"/>
  <c r="E1130" i="97" s="1"/>
  <c r="E38" i="74"/>
  <c r="E1134" i="97" s="1"/>
  <c r="J39" i="74"/>
  <c r="J1135" i="97" s="1"/>
  <c r="F1121" i="97"/>
  <c r="F34" i="74"/>
  <c r="F1130" i="97" s="1"/>
  <c r="F38" i="74"/>
  <c r="F1134" i="97" s="1"/>
  <c r="D34" i="74"/>
  <c r="D1130" i="97" s="1"/>
  <c r="D38" i="74"/>
  <c r="D1134" i="97" s="1"/>
  <c r="H1121" i="97"/>
  <c r="H34" i="74"/>
  <c r="H1130" i="97" s="1"/>
  <c r="H38" i="74"/>
  <c r="H1134" i="97" s="1"/>
  <c r="I1140" i="97"/>
  <c r="J44" i="74"/>
  <c r="E30" i="86"/>
  <c r="K1136" i="97"/>
  <c r="K1117" i="97"/>
  <c r="D44" i="82"/>
  <c r="D46" i="82" s="1"/>
  <c r="D1121" i="97"/>
  <c r="E33" i="74"/>
  <c r="E1129" i="97" s="1"/>
  <c r="E1121" i="97"/>
  <c r="B15" i="82"/>
  <c r="J189" i="78"/>
  <c r="M195" i="78" s="1"/>
  <c r="B72" i="74"/>
  <c r="E44" i="82"/>
  <c r="E46" i="82" s="1"/>
  <c r="D33" i="74"/>
  <c r="D1129" i="97" s="1"/>
  <c r="S22" i="74"/>
  <c r="D9" i="86"/>
  <c r="D17" i="86" s="1"/>
  <c r="D18" i="86" s="1"/>
  <c r="D20" i="86" s="1"/>
  <c r="D24" i="86" s="1"/>
  <c r="K7" i="86" s="1"/>
  <c r="G46" i="82"/>
  <c r="F44" i="82"/>
  <c r="F33" i="74"/>
  <c r="F1129" i="97" s="1"/>
  <c r="H9" i="86"/>
  <c r="H17" i="86" s="1"/>
  <c r="H18" i="86" s="1"/>
  <c r="H20" i="86" s="1"/>
  <c r="H24" i="86" s="1"/>
  <c r="K11" i="86" s="1"/>
  <c r="I25" i="74"/>
  <c r="C51" i="82"/>
  <c r="J20" i="74"/>
  <c r="J1116" i="97" s="1"/>
  <c r="H44" i="82"/>
  <c r="H33" i="74"/>
  <c r="H1129" i="97" s="1"/>
  <c r="K17" i="74"/>
  <c r="K1113" i="97" s="1"/>
  <c r="C46" i="74"/>
  <c r="C54" i="74" s="1"/>
  <c r="C1150" i="97" s="1"/>
  <c r="B56" i="74"/>
  <c r="B1152" i="97" s="1"/>
  <c r="B48" i="74"/>
  <c r="B1144" i="97" s="1"/>
  <c r="B47" i="74"/>
  <c r="B1143" i="97" s="1"/>
  <c r="B53" i="74"/>
  <c r="B55" i="74"/>
  <c r="B1151" i="97" s="1"/>
  <c r="C1159" i="97"/>
  <c r="B73" i="82"/>
  <c r="E33" i="86"/>
  <c r="I1121" i="97" l="1"/>
  <c r="I34" i="74"/>
  <c r="I1130" i="97" s="1"/>
  <c r="I38" i="74"/>
  <c r="I1134" i="97" s="1"/>
  <c r="K39" i="74"/>
  <c r="K1135" i="97" s="1"/>
  <c r="J1140" i="97"/>
  <c r="K44" i="74"/>
  <c r="F30" i="86"/>
  <c r="B1168" i="97"/>
  <c r="S1121" i="97"/>
  <c r="B1149" i="97"/>
  <c r="D51" i="82"/>
  <c r="F9" i="86"/>
  <c r="F17" i="86" s="1"/>
  <c r="F18" i="86" s="1"/>
  <c r="F20" i="86" s="1"/>
  <c r="F24" i="86" s="1"/>
  <c r="K9" i="86" s="1"/>
  <c r="S1120" i="97"/>
  <c r="S1122" i="97"/>
  <c r="S1123" i="97"/>
  <c r="S1119"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1159" i="97"/>
  <c r="C48" i="74"/>
  <c r="C1144" i="97" s="1"/>
  <c r="C56" i="74"/>
  <c r="C1152" i="97" s="1"/>
  <c r="D46" i="74"/>
  <c r="D54" i="74" s="1"/>
  <c r="D1150" i="97" s="1"/>
  <c r="C47" i="74"/>
  <c r="C1143" i="97" s="1"/>
  <c r="C53" i="74"/>
  <c r="C55" i="74"/>
  <c r="C1151" i="97" s="1"/>
  <c r="B49" i="74"/>
  <c r="B1145" i="97" s="1"/>
  <c r="I9" i="86"/>
  <c r="S27" i="74"/>
  <c r="H51" i="82"/>
  <c r="H46" i="82"/>
  <c r="F33" i="86"/>
  <c r="K20" i="74"/>
  <c r="K1116" i="97" s="1"/>
  <c r="B71" i="74" l="1"/>
  <c r="B1167" i="97" s="1"/>
  <c r="J1121" i="97"/>
  <c r="J34" i="74"/>
  <c r="J1130" i="97" s="1"/>
  <c r="J38" i="74"/>
  <c r="J1134" i="97" s="1"/>
  <c r="K1140" i="97"/>
  <c r="B76" i="74"/>
  <c r="G30" i="86"/>
  <c r="C1168" i="97"/>
  <c r="C1149" i="97"/>
  <c r="S1124"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1159" i="97"/>
  <c r="D73" i="82"/>
  <c r="G33" i="86"/>
  <c r="K25" i="74"/>
  <c r="B52" i="74"/>
  <c r="B1148" i="97" s="1"/>
  <c r="C49" i="74"/>
  <c r="C1145" i="97" s="1"/>
  <c r="K1121" i="97" l="1"/>
  <c r="K34" i="74"/>
  <c r="K1130" i="97" s="1"/>
  <c r="K38" i="74"/>
  <c r="K1134" i="97" s="1"/>
  <c r="C71" i="74"/>
  <c r="C1167" i="97" s="1"/>
  <c r="B1172" i="97"/>
  <c r="C76" i="74"/>
  <c r="H30" i="86"/>
  <c r="D1168" i="97"/>
  <c r="D1149" i="97"/>
  <c r="S1125" i="97"/>
  <c r="E72" i="74"/>
  <c r="J51" i="82"/>
  <c r="S29" i="74"/>
  <c r="D29" i="86"/>
  <c r="D37" i="86" s="1"/>
  <c r="D38" i="86" s="1"/>
  <c r="D40" i="86" s="1"/>
  <c r="D44" i="86" s="1"/>
  <c r="K14" i="86" s="1"/>
  <c r="C52" i="74"/>
  <c r="C1148" i="97" s="1"/>
  <c r="E73" i="82"/>
  <c r="F1159" i="97"/>
  <c r="D49" i="74"/>
  <c r="D1145" i="97" s="1"/>
  <c r="B57" i="74"/>
  <c r="K44" i="82"/>
  <c r="K33" i="74"/>
  <c r="K1129" i="97" s="1"/>
  <c r="E47" i="74"/>
  <c r="E1143" i="97" s="1"/>
  <c r="E56" i="74"/>
  <c r="E1152" i="97" s="1"/>
  <c r="F46" i="74"/>
  <c r="F54" i="74" s="1"/>
  <c r="F1150" i="97" s="1"/>
  <c r="E48" i="74"/>
  <c r="E1144" i="97" s="1"/>
  <c r="E53" i="74"/>
  <c r="E55" i="74"/>
  <c r="E1151" i="97" s="1"/>
  <c r="H33" i="86"/>
  <c r="B1153" i="97" l="1"/>
  <c r="B66" i="74"/>
  <c r="B1162" i="97" s="1"/>
  <c r="B70" i="74"/>
  <c r="B1166" i="97" s="1"/>
  <c r="D71" i="74"/>
  <c r="D1167" i="97" s="1"/>
  <c r="C1172" i="97"/>
  <c r="D76" i="74"/>
  <c r="I30" i="86"/>
  <c r="E1168" i="97"/>
  <c r="E1149"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1159" i="97"/>
  <c r="K51" i="82"/>
  <c r="K46" i="82"/>
  <c r="B25" i="82" s="1"/>
  <c r="I33" i="86"/>
  <c r="B64" i="82"/>
  <c r="B65" i="74"/>
  <c r="B1161" i="97" s="1"/>
  <c r="S1127" i="97" s="1"/>
  <c r="C1153" i="97" l="1"/>
  <c r="C66" i="74"/>
  <c r="C1162" i="97" s="1"/>
  <c r="C70" i="74"/>
  <c r="C1166" i="97" s="1"/>
  <c r="E71" i="74"/>
  <c r="E1167" i="97" s="1"/>
  <c r="D1172" i="97"/>
  <c r="E76" i="74"/>
  <c r="C50" i="86"/>
  <c r="F1168" i="97"/>
  <c r="F1149"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H54" i="74" s="1"/>
  <c r="H1150" i="97" s="1"/>
  <c r="G47" i="74"/>
  <c r="G1143" i="97" s="1"/>
  <c r="G53" i="74"/>
  <c r="G55" i="74"/>
  <c r="G1151" i="97" s="1"/>
  <c r="D1153" i="97" l="1"/>
  <c r="D66" i="74"/>
  <c r="D1162" i="97" s="1"/>
  <c r="D70" i="74"/>
  <c r="D1166" i="97" s="1"/>
  <c r="F71" i="74"/>
  <c r="F1167" i="97" s="1"/>
  <c r="E1172" i="97"/>
  <c r="F76" i="74"/>
  <c r="D50" i="86"/>
  <c r="G1168" i="97"/>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D57" i="86" l="1"/>
  <c r="D58" i="86" s="1"/>
  <c r="D60" i="86" s="1"/>
  <c r="D64" i="86" s="1"/>
  <c r="K21" i="86" s="1"/>
  <c r="E1153" i="97"/>
  <c r="E66" i="74"/>
  <c r="E1162" i="97" s="1"/>
  <c r="E70" i="74"/>
  <c r="E1166" i="97" s="1"/>
  <c r="G71" i="74"/>
  <c r="G1167" i="97" s="1"/>
  <c r="F1172" i="97"/>
  <c r="G76" i="74"/>
  <c r="G1172" i="97" s="1"/>
  <c r="E50" i="86"/>
  <c r="H1168" i="97"/>
  <c r="H1149" i="97"/>
  <c r="S1129" i="97"/>
  <c r="I72" i="74"/>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1159" i="97"/>
  <c r="I73" i="82"/>
  <c r="F57" i="74"/>
  <c r="H71" i="74" l="1"/>
  <c r="H1167" i="97" s="1"/>
  <c r="F1153" i="97"/>
  <c r="F66" i="74"/>
  <c r="F1162" i="97" s="1"/>
  <c r="F70" i="74"/>
  <c r="F1166" i="97" s="1"/>
  <c r="E57" i="86"/>
  <c r="E58" i="86" s="1"/>
  <c r="E60" i="86" s="1"/>
  <c r="E64" i="86" s="1"/>
  <c r="K22" i="86" s="1"/>
  <c r="F50" i="86"/>
  <c r="I1168" i="97"/>
  <c r="I1149"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F57" i="86" l="1"/>
  <c r="F58" i="86" s="1"/>
  <c r="F60" i="86" s="1"/>
  <c r="F64" i="86" s="1"/>
  <c r="K23" i="86" s="1"/>
  <c r="G1153" i="97"/>
  <c r="G66" i="74"/>
  <c r="G1162" i="97" s="1"/>
  <c r="G70" i="74"/>
  <c r="G1166" i="97" s="1"/>
  <c r="I71" i="74"/>
  <c r="I1167" i="97" s="1"/>
  <c r="G50" i="86"/>
  <c r="J1168" i="97"/>
  <c r="J1149" i="97"/>
  <c r="K72" i="74"/>
  <c r="K1168" i="97" s="1"/>
  <c r="I52" i="74"/>
  <c r="I1148" i="97" s="1"/>
  <c r="F66" i="82"/>
  <c r="F71" i="82"/>
  <c r="F74" i="82" s="1"/>
  <c r="G53" i="86"/>
  <c r="G64" i="82"/>
  <c r="G65" i="74"/>
  <c r="G1161" i="97" s="1"/>
  <c r="S1132" i="97" s="1"/>
  <c r="J49" i="74"/>
  <c r="J1145" i="97" s="1"/>
  <c r="C49" i="86"/>
  <c r="S35" i="74"/>
  <c r="K73" i="82"/>
  <c r="B1191" i="97"/>
  <c r="B78" i="74"/>
  <c r="B86" i="74" s="1"/>
  <c r="B1182" i="97" s="1"/>
  <c r="K56" i="74"/>
  <c r="K1152" i="97" s="1"/>
  <c r="K47" i="74"/>
  <c r="K1143" i="97" s="1"/>
  <c r="K48" i="74"/>
  <c r="K1144" i="97" s="1"/>
  <c r="K53" i="74"/>
  <c r="K55" i="74"/>
  <c r="K1151" i="97" s="1"/>
  <c r="H57" i="74"/>
  <c r="J71" i="74" l="1"/>
  <c r="J1167" i="97" s="1"/>
  <c r="G57" i="86"/>
  <c r="G58" i="86" s="1"/>
  <c r="G60" i="86" s="1"/>
  <c r="G64" i="86" s="1"/>
  <c r="K24" i="86" s="1"/>
  <c r="H1153" i="97"/>
  <c r="H66" i="74"/>
  <c r="H1162" i="97" s="1"/>
  <c r="H70" i="74"/>
  <c r="H1166"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1191" i="97"/>
  <c r="K71" i="74" l="1"/>
  <c r="K1167" i="97" s="1"/>
  <c r="I1153" i="97"/>
  <c r="I66" i="74"/>
  <c r="I1162" i="97" s="1"/>
  <c r="I70" i="74"/>
  <c r="I1166"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1191" i="97"/>
  <c r="H66" i="82"/>
  <c r="H71" i="82"/>
  <c r="H74" i="82" s="1"/>
  <c r="C79" i="74"/>
  <c r="C1175" i="97" s="1"/>
  <c r="D78" i="74"/>
  <c r="D86" i="74" s="1"/>
  <c r="D1182" i="97" s="1"/>
  <c r="C88" i="74"/>
  <c r="C1184" i="97" s="1"/>
  <c r="C80" i="74"/>
  <c r="C1176" i="97" s="1"/>
  <c r="C85" i="74"/>
  <c r="C87" i="74"/>
  <c r="C1183" i="97" s="1"/>
  <c r="G75" i="82"/>
  <c r="G76" i="82" s="1"/>
  <c r="B102" i="74" l="1"/>
  <c r="B1198" i="97" s="1"/>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1191" i="97"/>
  <c r="B84" i="74"/>
  <c r="B1180" i="97" s="1"/>
  <c r="H75" i="82"/>
  <c r="H76" i="82" s="1"/>
  <c r="K57" i="74"/>
  <c r="C102" i="74" l="1"/>
  <c r="C1198" i="97" s="1"/>
  <c r="K1153" i="97"/>
  <c r="K66" i="74"/>
  <c r="K1162" i="97" s="1"/>
  <c r="K70" i="74"/>
  <c r="K1166" i="97" s="1"/>
  <c r="D1181" i="97"/>
  <c r="E103" i="74"/>
  <c r="E1199" i="97" s="1"/>
  <c r="S39" i="74"/>
  <c r="J71" i="82"/>
  <c r="J74" i="82" s="1"/>
  <c r="J75" i="82" s="1"/>
  <c r="J76" i="82" s="1"/>
  <c r="C84" i="74"/>
  <c r="C1180" i="97" s="1"/>
  <c r="F1191" i="97"/>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B1185" i="97"/>
  <c r="B97" i="74"/>
  <c r="B1193" i="97" s="1"/>
  <c r="B101" i="74"/>
  <c r="B1197" i="97" s="1"/>
  <c r="E1181" i="97"/>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1191" i="97"/>
  <c r="E102" i="74" l="1"/>
  <c r="E1198" i="97" s="1"/>
  <c r="C1185" i="97"/>
  <c r="C97" i="74"/>
  <c r="C1193" i="97" s="1"/>
  <c r="C101" i="74"/>
  <c r="C1197"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1191" i="97"/>
  <c r="F81" i="74"/>
  <c r="F1177" i="97" s="1"/>
  <c r="D89" i="74"/>
  <c r="F102" i="74" l="1"/>
  <c r="F1198" i="97" s="1"/>
  <c r="D1185" i="97"/>
  <c r="D97" i="74"/>
  <c r="D1193" i="97" s="1"/>
  <c r="D101" i="74"/>
  <c r="D1197" i="97" s="1"/>
  <c r="G1181" i="97"/>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1191" i="97"/>
  <c r="G102" i="74" l="1"/>
  <c r="G1198" i="97" s="1"/>
  <c r="E1185" i="97"/>
  <c r="E97" i="74"/>
  <c r="E1193" i="97" s="1"/>
  <c r="E101" i="74"/>
  <c r="E1197" i="97" s="1"/>
  <c r="H1181" i="97"/>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1191" i="97"/>
  <c r="H102" i="74" l="1"/>
  <c r="H1198" i="97" s="1"/>
  <c r="F1185" i="97"/>
  <c r="F97" i="74"/>
  <c r="F1193" i="97" s="1"/>
  <c r="F101" i="74"/>
  <c r="F1197" i="97" s="1"/>
  <c r="I1181" i="97"/>
  <c r="J103" i="74"/>
  <c r="J1199" i="97" s="1"/>
  <c r="F96" i="74"/>
  <c r="F1192" i="97" s="1"/>
  <c r="J80" i="74"/>
  <c r="J1176" i="97" s="1"/>
  <c r="K78" i="74"/>
  <c r="K86" i="74" s="1"/>
  <c r="K1182" i="97" s="1"/>
  <c r="J79" i="74"/>
  <c r="J1175" i="97" s="1"/>
  <c r="J88" i="74"/>
  <c r="J1184" i="97" s="1"/>
  <c r="J85" i="74"/>
  <c r="J87" i="74"/>
  <c r="J1183" i="97" s="1"/>
  <c r="I81" i="74"/>
  <c r="I1177" i="97" s="1"/>
  <c r="K1191" i="97"/>
  <c r="G89" i="74"/>
  <c r="H84" i="74"/>
  <c r="H1180" i="97" s="1"/>
  <c r="I102" i="74" l="1"/>
  <c r="I1198" i="97" s="1"/>
  <c r="G1185" i="97"/>
  <c r="G97" i="74"/>
  <c r="G1193" i="97" s="1"/>
  <c r="G101" i="74"/>
  <c r="G1197" i="97" s="1"/>
  <c r="J1181" i="97"/>
  <c r="K103" i="74"/>
  <c r="K1199" i="97" s="1"/>
  <c r="G96" i="74"/>
  <c r="G1192" i="97" s="1"/>
  <c r="H89" i="74"/>
  <c r="J81" i="74"/>
  <c r="J1177" i="97" s="1"/>
  <c r="B1221" i="97"/>
  <c r="K80" i="74"/>
  <c r="K1176" i="97" s="1"/>
  <c r="B108" i="74"/>
  <c r="B116" i="74" s="1"/>
  <c r="B1212" i="97" s="1"/>
  <c r="K88" i="74"/>
  <c r="K1184" i="97" s="1"/>
  <c r="K79" i="74"/>
  <c r="K1175" i="97" s="1"/>
  <c r="K85" i="74"/>
  <c r="K87" i="74"/>
  <c r="K1183" i="97" s="1"/>
  <c r="I84" i="74"/>
  <c r="I1180" i="97" s="1"/>
  <c r="J102" i="74" l="1"/>
  <c r="J1198" i="97" s="1"/>
  <c r="H1185" i="97"/>
  <c r="H97" i="74"/>
  <c r="H1193" i="97" s="1"/>
  <c r="H101" i="74"/>
  <c r="H1197" i="97" s="1"/>
  <c r="K1181" i="97"/>
  <c r="B133" i="74"/>
  <c r="B1229" i="97" s="1"/>
  <c r="H96" i="74"/>
  <c r="H1192" i="97" s="1"/>
  <c r="J84" i="74"/>
  <c r="J1180" i="97" s="1"/>
  <c r="K81" i="74"/>
  <c r="K1177" i="97" s="1"/>
  <c r="C1221" i="97"/>
  <c r="I89" i="74"/>
  <c r="B109" i="74"/>
  <c r="B1205" i="97" s="1"/>
  <c r="C108" i="74"/>
  <c r="C116" i="74" s="1"/>
  <c r="C1212" i="97" s="1"/>
  <c r="B110" i="74"/>
  <c r="B1206" i="97" s="1"/>
  <c r="B118" i="74"/>
  <c r="B1214" i="97" s="1"/>
  <c r="B115" i="74"/>
  <c r="B117" i="74"/>
  <c r="B1213" i="97" s="1"/>
  <c r="K102" i="74" l="1"/>
  <c r="K1198" i="97" s="1"/>
  <c r="I1185" i="97"/>
  <c r="I97" i="74"/>
  <c r="I1193" i="97" s="1"/>
  <c r="I101" i="74"/>
  <c r="I1197" i="97" s="1"/>
  <c r="B1211" i="97"/>
  <c r="C133" i="74"/>
  <c r="C1229" i="97" s="1"/>
  <c r="I96" i="74"/>
  <c r="I1192" i="97" s="1"/>
  <c r="J89" i="74"/>
  <c r="K84" i="74"/>
  <c r="K1180" i="97" s="1"/>
  <c r="D108" i="74"/>
  <c r="D116" i="74" s="1"/>
  <c r="D1212" i="97" s="1"/>
  <c r="C109" i="74"/>
  <c r="C1205" i="97" s="1"/>
  <c r="C118" i="74"/>
  <c r="C1214" i="97" s="1"/>
  <c r="C110" i="74"/>
  <c r="C1206" i="97" s="1"/>
  <c r="C115" i="74"/>
  <c r="C117" i="74"/>
  <c r="C1213" i="97" s="1"/>
  <c r="D1221" i="97"/>
  <c r="B111" i="74"/>
  <c r="B1207" i="97" s="1"/>
  <c r="B132" i="74" l="1"/>
  <c r="B1228" i="97" s="1"/>
  <c r="J1185" i="97"/>
  <c r="J97" i="74"/>
  <c r="J1193" i="97" s="1"/>
  <c r="J101" i="74"/>
  <c r="J1197" i="97" s="1"/>
  <c r="C1211" i="97"/>
  <c r="D133" i="74"/>
  <c r="D1229" i="97" s="1"/>
  <c r="K89" i="74"/>
  <c r="J96" i="74"/>
  <c r="J1192" i="97" s="1"/>
  <c r="B114" i="74"/>
  <c r="B1210" i="97" s="1"/>
  <c r="C111" i="74"/>
  <c r="C1207" i="97" s="1"/>
  <c r="E1221" i="97"/>
  <c r="D118" i="74"/>
  <c r="D1214" i="97" s="1"/>
  <c r="D109" i="74"/>
  <c r="D1205" i="97" s="1"/>
  <c r="E108" i="74"/>
  <c r="E116" i="74" s="1"/>
  <c r="E1212" i="97" s="1"/>
  <c r="D110" i="74"/>
  <c r="D1206" i="97" s="1"/>
  <c r="D115" i="74"/>
  <c r="D117" i="74"/>
  <c r="D1213" i="97" s="1"/>
  <c r="C132" i="74" l="1"/>
  <c r="C1228" i="97" s="1"/>
  <c r="K1185" i="97"/>
  <c r="K101" i="74"/>
  <c r="K1197" i="97" s="1"/>
  <c r="K97" i="74"/>
  <c r="K1193" i="97" s="1"/>
  <c r="D1211" i="97"/>
  <c r="E133" i="74"/>
  <c r="E1229" i="97" s="1"/>
  <c r="K96" i="74"/>
  <c r="K1192" i="97" s="1"/>
  <c r="B119" i="74"/>
  <c r="C114" i="74"/>
  <c r="C1210" i="97" s="1"/>
  <c r="F1221" i="97"/>
  <c r="F108" i="74"/>
  <c r="F116" i="74" s="1"/>
  <c r="F1212" i="97" s="1"/>
  <c r="E109" i="74"/>
  <c r="E1205" i="97" s="1"/>
  <c r="E118" i="74"/>
  <c r="E1214" i="97" s="1"/>
  <c r="E110" i="74"/>
  <c r="E1206" i="97" s="1"/>
  <c r="E115" i="74"/>
  <c r="E117" i="74"/>
  <c r="E1213" i="97" s="1"/>
  <c r="D111" i="74"/>
  <c r="D1207" i="97" s="1"/>
  <c r="D132" i="74" l="1"/>
  <c r="D1228" i="97" s="1"/>
  <c r="B1215" i="97"/>
  <c r="B127" i="74"/>
  <c r="B1223" i="97" s="1"/>
  <c r="B131" i="74"/>
  <c r="B1227" i="97" s="1"/>
  <c r="E1211" i="97"/>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C1215" i="97"/>
  <c r="C127" i="74"/>
  <c r="C1223" i="97" s="1"/>
  <c r="C131" i="74"/>
  <c r="C1227" i="97" s="1"/>
  <c r="F1211" i="97"/>
  <c r="C126" i="74"/>
  <c r="C1222" i="97" s="1"/>
  <c r="E114" i="74"/>
  <c r="E1210" i="97" s="1"/>
  <c r="F111" i="74"/>
  <c r="F1207" i="97" s="1"/>
  <c r="D119" i="74"/>
  <c r="F132" i="74" l="1"/>
  <c r="F1228" i="97" s="1"/>
  <c r="D1215" i="97"/>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<sst xmlns="http://schemas.openxmlformats.org/spreadsheetml/2006/main" count="19936" uniqueCount="7180">
  <si>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</si>
  <si>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</si>
  <si>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</si>
  <si>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</si>
  <si>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</si>
  <si>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</si>
  <si>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</si>
  <si>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</si>
  <si>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</si>
  <si>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</si>
  <si>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</si>
  <si>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</si>
  <si>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</si>
  <si>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</si>
  <si>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</si>
  <si>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</si>
  <si>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</si>
  <si>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</si>
  <si>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</si>
  <si>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</si>
  <si>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</si>
  <si>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</si>
  <si>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</si>
  <si>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</si>
  <si>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</si>
  <si>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</si>
  <si>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</si>
  <si>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</si>
  <si>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</si>
  <si>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</si>
  <si>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</si>
  <si>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</si>
  <si>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</si>
  <si>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</si>
  <si>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</si>
  <si>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</si>
  <si>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</si>
  <si>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</si>
  <si>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</si>
  <si>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</si>
  <si>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</si>
  <si>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</si>
  <si>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</si>
  <si>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</si>
  <si>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</si>
  <si>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</si>
  <si>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</si>
  <si>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</si>
  <si>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</si>
  <si>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</si>
  <si>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</si>
  <si>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</si>
  <si>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</si>
  <si>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</si>
  <si>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</si>
  <si>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</si>
  <si>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</si>
  <si>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</si>
  <si>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</si>
  <si>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</si>
  <si>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</si>
  <si>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</si>
  <si>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</si>
  <si>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</si>
  <si>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</si>
  <si>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</si>
  <si>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</si>
  <si>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</si>
  <si>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</si>
  <si>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</si>
  <si>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</si>
  <si>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</si>
  <si>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</si>
  <si>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</si>
  <si>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</si>
  <si>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</si>
  <si>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</si>
  <si>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</si>
  <si>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</si>
  <si>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</si>
  <si>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</si>
  <si>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</si>
  <si>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</si>
  <si>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</si>
  <si>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</si>
  <si>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</si>
  <si>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</si>
  <si>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</si>
  <si>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</si>
  <si>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</si>
  <si>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</si>
  <si>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</si>
  <si>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</si>
  <si>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</si>
  <si>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</si>
  <si>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</si>
  <si>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</si>
  <si>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</si>
  <si>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</si>
  <si>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</si>
  <si>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</si>
  <si>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</si>
  <si>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</si>
  <si>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</si>
  <si>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</si>
  <si>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</si>
  <si>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</si>
  <si>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</si>
  <si>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</si>
  <si>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</si>
  <si>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</si>
  <si>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</si>
  <si>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</si>
  <si>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</si>
  <si>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</si>
  <si>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</si>
  <si>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</si>
  <si>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</si>
  <si>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</si>
  <si>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</si>
  <si>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</si>
  <si>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</si>
  <si>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</si>
  <si>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</si>
  <si>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</si>
  <si>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</si>
  <si>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</si>
  <si>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</si>
  <si>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</si>
  <si>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</si>
  <si>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</si>
  <si>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</si>
  <si>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</si>
  <si>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</si>
  <si>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</si>
  <si>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</si>
  <si>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</si>
  <si>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</si>
  <si>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</si>
  <si>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</si>
  <si>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</si>
  <si>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</si>
  <si>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</si>
  <si>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</si>
  <si>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</si>
  <si>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</si>
  <si>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</si>
  <si>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</si>
  <si>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</si>
  <si>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</si>
  <si>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</si>
  <si>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</si>
  <si>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</si>
  <si>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</si>
  <si>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</si>
  <si>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</si>
  <si>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</si>
  <si>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</si>
  <si>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</si>
  <si>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</si>
  <si>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</si>
  <si>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</si>
  <si>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</si>
  <si>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</si>
  <si>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</si>
  <si>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</si>
  <si>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</si>
  <si>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</si>
  <si>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</si>
  <si>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</si>
  <si>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</si>
  <si>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</si>
  <si>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</si>
  <si>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</si>
  <si>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</si>
  <si>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</si>
  <si>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</si>
  <si>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</si>
  <si>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</si>
  <si>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</si>
  <si>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</si>
  <si>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</si>
  <si>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</si>
  <si>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</si>
  <si>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</si>
  <si>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</si>
  <si>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</si>
  <si>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</si>
  <si>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</si>
  <si>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</si>
  <si>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</si>
  <si>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</si>
  <si>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</si>
  <si>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</si>
  <si>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</si>
  <si>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</si>
  <si>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</si>
  <si>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</si>
  <si>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</si>
  <si>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</si>
  <si>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</si>
  <si>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</si>
  <si>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</si>
  <si>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</si>
  <si>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</si>
  <si>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</si>
  <si>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</si>
  <si>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</si>
  <si>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</si>
  <si>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</si>
  <si>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</si>
  <si>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</si>
  <si>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</si>
  <si>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</si>
  <si>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</si>
  <si>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</si>
  <si>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</si>
  <si>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</si>
  <si>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</si>
  <si>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</si>
  <si>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</si>
  <si>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</si>
  <si>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</si>
  <si>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</si>
  <si>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</si>
  <si>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</si>
  <si>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</si>
  <si>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</si>
  <si>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</si>
  <si>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</si>
  <si>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</si>
  <si>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</si>
  <si>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</si>
  <si>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</si>
  <si>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</si>
  <si>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</si>
  <si>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</si>
  <si>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</si>
  <si>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</si>
  <si>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</si>
  <si>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</si>
  <si>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</si>
  <si>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</si>
  <si>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</si>
  <si>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</si>
  <si>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</si>
  <si>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</si>
  <si>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</si>
  <si>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</si>
  <si>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</si>
  <si>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</si>
  <si>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</si>
  <si>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</si>
  <si>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</si>
  <si>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</si>
  <si>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</si>
  <si>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</si>
  <si>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</si>
  <si>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</si>
  <si>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</si>
  <si>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</si>
  <si>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</si>
  <si>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</si>
  <si>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</si>
  <si>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</si>
  <si>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</si>
  <si>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</si>
  <si>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</si>
  <si>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</si>
  <si>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</si>
  <si>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</si>
  <si>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</si>
  <si>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</si>
  <si>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</si>
  <si>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</si>
  <si>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</si>
  <si>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</si>
  <si>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</si>
  <si>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</si>
  <si>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</si>
  <si>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</si>
  <si>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</si>
  <si>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</si>
  <si>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</si>
  <si>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</si>
  <si>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</si>
  <si>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</si>
  <si>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</si>
  <si>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</si>
  <si>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</si>
  <si>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</si>
  <si>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</si>
  <si>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</si>
  <si>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</si>
  <si>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</si>
  <si>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</si>
  <si>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</si>
  <si>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</si>
  <si>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</si>
  <si>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</si>
  <si>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</si>
  <si>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</si>
  <si>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</si>
  <si>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</si>
  <si>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</si>
  <si>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</si>
  <si>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</si>
  <si>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</si>
  <si>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</si>
  <si>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</si>
  <si>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</si>
  <si>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</si>
  <si>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</si>
  <si>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</si>
  <si>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</si>
  <si>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</si>
  <si>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</si>
  <si>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</si>
  <si>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</si>
  <si>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</si>
  <si>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</si>
  <si>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</si>
  <si>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</si>
  <si>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</si>
  <si>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</si>
  <si>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</si>
  <si>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</si>
  <si>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</si>
  <si>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</si>
  <si>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</si>
  <si>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</si>
  <si>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</si>
  <si>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</si>
  <si>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</si>
  <si>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</si>
  <si>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</si>
  <si>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</si>
  <si>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</si>
  <si>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</si>
  <si>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</si>
  <si>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</si>
  <si>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</si>
  <si>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</si>
  <si>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</si>
  <si>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</si>
  <si>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</si>
  <si>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</si>
  <si>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</si>
  <si>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</si>
  <si>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</si>
  <si>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</si>
  <si>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</si>
  <si>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</si>
  <si>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</si>
  <si>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</si>
  <si>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</si>
  <si>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</si>
  <si>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</si>
  <si>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</si>
  <si>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</si>
  <si>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</si>
  <si>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</si>
  <si>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</si>
  <si>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</si>
  <si>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</si>
  <si>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</si>
  <si>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</si>
  <si>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</si>
  <si>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</si>
  <si>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</si>
  <si>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</si>
  <si>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</si>
  <si>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</si>
  <si>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</si>
  <si>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</si>
  <si>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</si>
  <si>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</si>
  <si>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</si>
  <si>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</si>
  <si>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</si>
  <si>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</si>
  <si>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</si>
  <si>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</si>
  <si>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</si>
  <si>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</si>
  <si>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</si>
  <si>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</si>
  <si>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</si>
  <si>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</si>
  <si>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</si>
  <si>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</si>
  <si>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</si>
  <si>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</si>
  <si>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</si>
  <si>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</si>
  <si>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</si>
  <si>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</si>
  <si>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</si>
  <si>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</si>
  <si>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</si>
  <si>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</si>
  <si>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</si>
  <si>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</si>
  <si>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</si>
  <si>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</si>
  <si>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</si>
  <si>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</si>
  <si>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</si>
  <si>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</si>
  <si>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</si>
  <si>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</si>
  <si>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</si>
  <si>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</si>
  <si>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</si>
  <si>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</si>
  <si>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</si>
  <si>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</si>
  <si>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</si>
  <si>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</si>
  <si>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</si>
  <si>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</si>
  <si>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</si>
  <si>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</si>
  <si>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</si>
  <si>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</si>
  <si>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</si>
  <si>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</si>
  <si>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</si>
  <si>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</si>
  <si>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</si>
  <si>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</si>
  <si>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</si>
  <si>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</si>
  <si>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</si>
  <si>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</si>
  <si>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</si>
  <si>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</si>
  <si>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</si>
  <si>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</si>
  <si>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</si>
  <si>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</si>
  <si>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</si>
  <si>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</si>
  <si>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</si>
  <si>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</si>
  <si>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</si>
  <si>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</si>
  <si>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</si>
  <si>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</si>
  <si>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</si>
  <si>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</si>
  <si>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</si>
  <si>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</si>
  <si>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</si>
  <si>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</si>
  <si>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</si>
  <si>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</si>
  <si>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</si>
  <si>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</si>
  <si>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</si>
  <si>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</si>
  <si>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</si>
  <si>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</si>
  <si>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</si>
  <si>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</si>
  <si>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</si>
  <si>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</si>
  <si>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</si>
  <si>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</si>
  <si>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</si>
  <si>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</si>
  <si>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</si>
  <si>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</si>
  <si>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</si>
  <si>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</si>
  <si>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</si>
  <si>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</si>
  <si>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</si>
  <si>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</si>
  <si>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</si>
  <si>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</si>
  <si>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</si>
  <si>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</si>
  <si>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</si>
  <si>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</si>
  <si>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</si>
  <si>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</si>
  <si>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</si>
  <si>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</si>
  <si>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</si>
  <si>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</si>
  <si>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</si>
  <si>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</si>
  <si>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</si>
  <si>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</si>
  <si>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</si>
  <si>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</si>
  <si>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</si>
  <si>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</si>
  <si>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</si>
  <si>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</si>
  <si>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</si>
  <si>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</si>
  <si>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</si>
  <si>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</si>
  <si>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</si>
  <si>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</si>
  <si>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</si>
  <si>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</si>
  <si>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</si>
  <si>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</si>
  <si>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</si>
  <si>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</si>
  <si>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</si>
  <si>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</si>
  <si>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</si>
  <si>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</si>
  <si>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</si>
  <si>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</si>
  <si>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</si>
  <si>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</si>
  <si>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</si>
  <si>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</si>
  <si>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</si>
  <si>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</si>
  <si>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</si>
  <si>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</si>
  <si>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</si>
  <si>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</si>
  <si>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</si>
  <si>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</si>
  <si>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</si>
  <si>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</si>
  <si>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</si>
  <si>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</si>
  <si>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</si>
  <si>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</si>
  <si>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</si>
  <si>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</si>
  <si>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</si>
  <si>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</si>
  <si>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</si>
  <si>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</si>
  <si>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</si>
  <si>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</si>
  <si>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</si>
  <si>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</si>
  <si>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</si>
  <si>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</si>
  <si>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</si>
  <si>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</si>
  <si>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</si>
  <si>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</si>
  <si>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</si>
  <si>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</si>
  <si>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</si>
  <si>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</si>
  <si>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</si>
  <si>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</si>
  <si>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</si>
  <si>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</si>
  <si>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</si>
  <si>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</si>
  <si>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</si>
  <si>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</si>
  <si>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</si>
  <si>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</si>
  <si>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</si>
  <si>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</si>
  <si>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</si>
  <si>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</si>
  <si>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</si>
  <si>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</si>
  <si>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</si>
  <si>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</si>
  <si>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</si>
  <si>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</si>
  <si>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</si>
  <si>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</si>
  <si>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</si>
  <si>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</si>
  <si>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</si>
  <si>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</si>
  <si>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</si>
  <si>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</si>
  <si>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</si>
  <si>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</si>
  <si>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</si>
  <si>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</si>
  <si>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</si>
  <si>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</si>
  <si>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</si>
  <si>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</si>
  <si>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</si>
  <si>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</si>
  <si>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</si>
  <si>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</si>
  <si>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</si>
  <si>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</si>
  <si>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</si>
  <si>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</si>
  <si>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</si>
  <si>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</si>
  <si>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</si>
  <si>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</si>
  <si>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</si>
  <si>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</si>
  <si>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</si>
  <si>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</si>
  <si>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</si>
  <si>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</si>
  <si>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</si>
  <si>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</si>
  <si>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</si>
  <si>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</si>
  <si>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</si>
  <si>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</si>
  <si>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</si>
  <si>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</si>
  <si>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</si>
  <si>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</si>
  <si>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</si>
  <si>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</si>
  <si>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</si>
  <si>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</si>
  <si>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</si>
  <si>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</si>
  <si>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</si>
  <si>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</si>
  <si>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</si>
  <si>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</si>
  <si>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</si>
  <si>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</si>
  <si>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</si>
  <si>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</si>
  <si>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</si>
  <si>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</si>
  <si>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</si>
  <si>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</si>
  <si>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</si>
  <si>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</si>
  <si>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</si>
  <si>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</si>
  <si>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</si>
  <si>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</si>
  <si>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</si>
  <si>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</si>
  <si>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</si>
  <si>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</si>
  <si>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</si>
  <si>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</si>
  <si>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</si>
  <si>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</si>
  <si>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</si>
  <si>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</si>
  <si>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</si>
  <si>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</si>
  <si>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</si>
  <si>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</si>
  <si>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</si>
  <si>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</si>
  <si>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</si>
  <si>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</si>
  <si>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</si>
  <si>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</si>
  <si>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</si>
  <si>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</si>
  <si>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</si>
  <si>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</si>
  <si>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</si>
  <si>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</si>
  <si>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</si>
  <si>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</si>
  <si>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</si>
  <si>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</si>
  <si>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</si>
  <si>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</si>
  <si>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</si>
  <si>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</si>
  <si>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</si>
  <si>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</si>
  <si>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</si>
  <si>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</si>
  <si>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</si>
  <si>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</si>
  <si>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</si>
  <si>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</si>
  <si>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</si>
  <si>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</si>
  <si>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</si>
  <si>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</si>
  <si>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</si>
  <si>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</si>
  <si>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</si>
  <si>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</si>
  <si>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</si>
  <si>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</si>
  <si>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</si>
  <si>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</si>
  <si>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</si>
  <si>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</si>
  <si>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</si>
  <si>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</si>
  <si>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</si>
  <si>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</si>
  <si>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</si>
  <si>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</si>
  <si>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</si>
  <si>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</si>
  <si>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</si>
  <si>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</si>
  <si>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</si>
  <si>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</si>
  <si>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</si>
  <si>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</si>
  <si>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</si>
  <si>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</si>
  <si>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</si>
  <si>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</si>
  <si>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</si>
  <si>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</si>
  <si>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</si>
  <si>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</si>
  <si>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</si>
  <si>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</si>
  <si>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</si>
  <si>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</si>
  <si>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</si>
  <si>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</si>
  <si>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</si>
  <si>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</si>
  <si>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</si>
  <si>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</si>
  <si>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</si>
  <si>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</si>
  <si>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</si>
  <si>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</si>
  <si>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</si>
  <si>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</si>
  <si>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</si>
  <si>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</si>
  <si>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</si>
  <si>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</si>
  <si>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</si>
  <si>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</si>
  <si>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</si>
  <si>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</si>
  <si>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</si>
  <si>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</si>
  <si>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</si>
  <si>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</si>
  <si>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</si>
  <si>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</si>
  <si>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</si>
  <si>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</si>
  <si>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</si>
  <si>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</si>
  <si>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</si>
  <si>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</si>
  <si>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</si>
  <si>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</si>
  <si>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</si>
  <si>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</si>
  <si>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</si>
  <si>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</si>
  <si>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</si>
  <si>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</si>
  <si>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</si>
  <si>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</si>
  <si>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</si>
  <si>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</si>
  <si>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</si>
  <si>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</si>
  <si>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</si>
  <si>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</si>
  <si>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</si>
  <si>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</si>
  <si>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</si>
  <si>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</si>
  <si>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</si>
  <si>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</si>
  <si>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</si>
  <si>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</si>
  <si>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</si>
  <si>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</si>
  <si>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</si>
  <si>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</si>
  <si>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</si>
  <si>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</si>
  <si>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</si>
  <si>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</si>
  <si>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</si>
  <si>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</si>
  <si>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</si>
  <si>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</si>
  <si>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</si>
  <si>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</si>
  <si>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</si>
  <si>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</si>
  <si>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</si>
  <si>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</si>
  <si>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</si>
  <si>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</si>
  <si>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</si>
  <si>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</si>
  <si>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</si>
  <si>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</si>
  <si>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</si>
  <si>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</si>
  <si>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</si>
  <si>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</si>
  <si>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</si>
  <si>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</si>
  <si>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</si>
  <si>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</si>
  <si>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</si>
  <si>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</si>
  <si>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</si>
  <si>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</si>
  <si>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</si>
  <si>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</si>
  <si>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</si>
  <si>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</si>
  <si>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</si>
  <si>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</si>
  <si>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</si>
  <si>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</si>
  <si>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</si>
  <si>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</si>
  <si>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</si>
  <si>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</si>
  <si>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</si>
  <si>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</si>
  <si>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</si>
  <si>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</si>
  <si>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</si>
  <si>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</si>
  <si>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</si>
  <si>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</si>
  <si>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</si>
  <si>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</si>
  <si>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</si>
  <si>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</si>
  <si>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</si>
  <si>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</si>
  <si>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</si>
  <si>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</si>
  <si>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</si>
  <si>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</si>
  <si>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</si>
  <si>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</si>
  <si>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</si>
  <si>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</si>
  <si>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</si>
  <si>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</si>
  <si>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</si>
  <si>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</si>
  <si>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</si>
  <si>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</si>
  <si>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</si>
  <si>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</si>
  <si>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</si>
  <si>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</si>
  <si>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</si>
  <si>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</si>
  <si>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</si>
  <si>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</si>
  <si>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</si>
  <si>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</si>
  <si>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</si>
  <si>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</si>
  <si>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</si>
  <si>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</si>
  <si>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</si>
  <si>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</si>
  <si>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</si>
  <si>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</si>
  <si>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</si>
  <si>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</si>
  <si>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</si>
  <si>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</si>
  <si>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</si>
  <si>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</si>
  <si>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</si>
  <si>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</si>
  <si>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</si>
  <si>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</si>
  <si>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</si>
  <si>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</si>
  <si>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</si>
  <si>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</si>
  <si>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</si>
  <si>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</si>
  <si>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</si>
  <si>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</si>
  <si>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</si>
  <si>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</si>
  <si>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</si>
  <si>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</si>
  <si>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</si>
  <si>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</si>
  <si>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</si>
  <si>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</si>
  <si>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</si>
  <si>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</si>
  <si>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</si>
  <si>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</si>
  <si>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</si>
  <si>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</si>
  <si>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</si>
  <si>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</si>
  <si>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</si>
  <si>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</si>
  <si>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</si>
  <si>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</si>
  <si>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</si>
  <si>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</si>
  <si>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</si>
  <si>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</si>
  <si>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</si>
  <si>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</si>
  <si>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</si>
  <si>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</si>
  <si>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</si>
  <si>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</si>
  <si>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</si>
  <si>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</si>
  <si>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</si>
  <si>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</si>
  <si>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</si>
  <si>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</si>
  <si>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</si>
  <si>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</si>
  <si>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</si>
  <si>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</si>
  <si>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</si>
  <si>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</si>
  <si>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</si>
  <si>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</si>
  <si>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</si>
  <si>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</si>
  <si>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</si>
  <si>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</si>
  <si>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</si>
  <si>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</si>
  <si>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</si>
  <si>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</si>
  <si>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</si>
  <si>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</si>
  <si>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</si>
  <si>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</si>
  <si>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</si>
  <si>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</si>
  <si>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</si>
  <si>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</si>
  <si>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</si>
  <si>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</si>
  <si>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</si>
  <si>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</si>
  <si>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</si>
  <si>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</si>
  <si>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</si>
  <si>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</si>
  <si>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</si>
  <si>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</si>
  <si>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</si>
  <si>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</si>
  <si>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</si>
  <si>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</si>
  <si>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</si>
  <si>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</si>
  <si>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</si>
  <si>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</si>
  <si>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</si>
  <si>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</si>
  <si>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</si>
  <si>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</si>
  <si>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</si>
  <si>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</si>
  <si>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</si>
  <si>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</si>
  <si>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</si>
  <si>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</si>
  <si>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</si>
  <si>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</si>
  <si>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</si>
  <si>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</si>
  <si>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</si>
  <si>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</si>
  <si>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</si>
  <si>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</si>
  <si>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</si>
  <si>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</si>
  <si>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</si>
  <si>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</si>
  <si>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</si>
  <si>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</si>
  <si>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</si>
  <si>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</si>
  <si>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</si>
  <si>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</si>
  <si>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</si>
  <si>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</si>
  <si>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</si>
  <si>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</si>
  <si>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</si>
  <si>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</si>
  <si>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</si>
  <si>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</si>
  <si>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</si>
  <si>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</si>
  <si>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</si>
  <si>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</si>
  <si>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</si>
  <si>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</si>
  <si>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</si>
  <si>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</si>
  <si>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</si>
  <si>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</si>
  <si>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</si>
  <si>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</si>
  <si>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</si>
  <si>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</si>
  <si>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</si>
  <si>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</si>
  <si>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</si>
  <si>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</si>
  <si>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</si>
  <si>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</si>
  <si>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</si>
  <si>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</si>
  <si>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</si>
  <si>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</si>
  <si>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</si>
  <si>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</si>
  <si>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</si>
  <si>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</si>
  <si>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</si>
  <si>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</si>
  <si>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</si>
  <si>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</si>
  <si>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</si>
  <si>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</si>
  <si>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</si>
  <si>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</si>
  <si>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</si>
  <si>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</si>
  <si>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</si>
  <si>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</si>
  <si>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</si>
  <si>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</si>
  <si>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</si>
  <si>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</si>
  <si>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</si>
  <si>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</si>
  <si>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</si>
  <si>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</si>
  <si>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</si>
  <si>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</si>
  <si>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</si>
  <si>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</si>
  <si>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</si>
  <si>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</si>
  <si>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</si>
  <si>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</si>
  <si>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</si>
  <si>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</si>
  <si>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</si>
  <si>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</si>
  <si>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</si>
  <si>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</si>
  <si>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</si>
  <si>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</si>
  <si>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</si>
  <si>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</si>
  <si>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</si>
  <si>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</si>
  <si>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</si>
  <si>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</si>
  <si>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</si>
  <si>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</si>
  <si>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</si>
  <si>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</si>
  <si>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</si>
  <si>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</si>
  <si>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</si>
  <si>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</si>
  <si>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</si>
  <si>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</si>
  <si>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</si>
  <si>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</si>
  <si>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</si>
  <si>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</si>
  <si>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</si>
  <si>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</si>
  <si>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</si>
  <si>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</si>
  <si>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</si>
  <si>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</si>
  <si>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</si>
  <si>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</si>
  <si>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</si>
  <si>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</si>
  <si>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</si>
  <si>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</si>
  <si>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</si>
  <si>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</si>
  <si>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</si>
  <si>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</si>
  <si>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</si>
  <si>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</si>
  <si>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</si>
  <si>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</si>
  <si>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</si>
  <si>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</si>
  <si>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</si>
  <si>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</si>
  <si>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</si>
  <si>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</si>
  <si>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</si>
  <si>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</si>
  <si>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</si>
  <si>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</si>
  <si>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</si>
  <si>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</si>
  <si>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</si>
  <si>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</si>
  <si>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</si>
  <si>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</si>
  <si>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</si>
  <si>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</si>
  <si>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</si>
  <si>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</si>
  <si>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</si>
  <si>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</si>
  <si>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</si>
  <si>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</si>
  <si>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</si>
  <si>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</si>
  <si>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</si>
  <si>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</si>
  <si>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</si>
  <si>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</si>
  <si>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</si>
  <si>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</si>
  <si>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</si>
  <si>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</si>
  <si>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</si>
  <si>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</si>
  <si>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</si>
  <si>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</si>
  <si>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</si>
  <si>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</si>
  <si>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</si>
  <si>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</si>
  <si>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</si>
  <si>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</si>
  <si>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</si>
  <si>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</si>
  <si>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</si>
  <si>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</si>
  <si>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</si>
  <si>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</si>
  <si>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</si>
  <si>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</si>
  <si>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</si>
  <si>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</si>
  <si>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</si>
  <si>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</si>
  <si>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</si>
  <si>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</si>
  <si>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</si>
  <si>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</si>
  <si>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</si>
  <si>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</si>
  <si>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</si>
  <si>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</si>
  <si>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</si>
  <si>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</si>
  <si>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</si>
  <si>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</si>
  <si>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</si>
  <si>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</si>
  <si>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</si>
  <si>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</si>
  <si>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</si>
  <si>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</si>
  <si>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</si>
  <si>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</si>
  <si>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</si>
  <si>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</si>
  <si>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</si>
  <si>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</si>
  <si>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</si>
  <si>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</si>
  <si>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</si>
  <si>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</si>
  <si>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</si>
  <si>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</si>
  <si>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</si>
  <si>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</si>
  <si>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</si>
  <si>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</si>
  <si>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</si>
  <si>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</si>
  <si>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</si>
  <si>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</si>
  <si>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</si>
  <si>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</si>
  <si>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</si>
  <si>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</si>
  <si>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</si>
  <si>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</si>
  <si>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</si>
  <si>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</si>
  <si>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</si>
  <si>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</si>
  <si>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</si>
  <si>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</si>
  <si>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</si>
  <si>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</si>
  <si>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</si>
  <si>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</si>
  <si>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</si>
  <si>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</si>
  <si>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</si>
  <si>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</si>
  <si>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</si>
  <si>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</si>
  <si>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</si>
  <si>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</si>
  <si>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</si>
  <si>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</si>
  <si>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</si>
  <si>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</si>
  <si>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</si>
  <si>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</si>
  <si>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</si>
  <si>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</si>
  <si>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</si>
  <si>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</si>
  <si>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</si>
  <si>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</si>
  <si>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</si>
  <si>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</si>
  <si>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</si>
  <si>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</si>
  <si>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</si>
  <si>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</si>
  <si>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</si>
  <si>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</si>
  <si>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</si>
  <si>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</si>
  <si>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</si>
  <si>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</si>
  <si>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</si>
  <si>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</si>
  <si>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</si>
  <si>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</si>
  <si>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</si>
  <si>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</si>
  <si>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</si>
  <si>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</si>
  <si>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</si>
  <si>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</si>
  <si>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</si>
  <si>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</si>
  <si>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</si>
  <si>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</si>
  <si>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</si>
  <si>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</si>
  <si>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</si>
  <si>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</si>
  <si>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</si>
  <si>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</si>
  <si>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</si>
  <si>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</si>
  <si>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</si>
  <si>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</si>
  <si>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</si>
  <si>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</si>
  <si>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</si>
  <si>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</si>
  <si>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</si>
  <si>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</si>
  <si>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</si>
  <si>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</si>
  <si>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</si>
  <si>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</si>
  <si>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</si>
  <si>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</si>
  <si>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</si>
  <si>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</si>
  <si>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</si>
  <si>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</si>
  <si>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</si>
  <si>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</si>
  <si>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</si>
  <si>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</si>
  <si>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</si>
  <si>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</si>
  <si>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</si>
  <si>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</si>
  <si>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</si>
  <si>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</si>
  <si>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</si>
  <si>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</si>
  <si>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</si>
  <si>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</si>
  <si>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</si>
  <si>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</si>
  <si>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</si>
  <si>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</si>
  <si>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</si>
  <si>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</si>
  <si>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</si>
  <si>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</si>
  <si>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</si>
  <si>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</si>
  <si>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</si>
  <si>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</si>
  <si>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</si>
  <si>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</si>
  <si>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</si>
  <si>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</si>
  <si>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</si>
  <si>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</si>
  <si>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</si>
  <si>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</si>
  <si>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</si>
  <si>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</si>
  <si>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</si>
  <si>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</si>
  <si>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</si>
  <si>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</si>
  <si>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</si>
  <si>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</si>
  <si>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</si>
  <si>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</si>
  <si>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</si>
  <si>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</si>
  <si>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</si>
  <si>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</si>
  <si>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</si>
  <si>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</si>
  <si>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</si>
  <si>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</si>
  <si>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</si>
  <si>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</si>
  <si>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</si>
  <si>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</si>
  <si>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</si>
  <si>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</si>
  <si>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</si>
  <si>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</si>
  <si>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</si>
  <si>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</si>
  <si>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</si>
  <si>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</si>
  <si>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</si>
  <si>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</si>
  <si>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</si>
  <si>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</si>
  <si>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</si>
  <si>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</si>
  <si>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</si>
  <si>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</si>
  <si>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</si>
  <si>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</si>
  <si>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</si>
  <si>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</si>
  <si>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</si>
  <si>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</si>
  <si>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</si>
  <si>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</si>
  <si>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</si>
  <si>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</si>
  <si>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</si>
  <si>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</si>
  <si>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</si>
  <si>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</si>
  <si>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</si>
  <si>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</si>
  <si>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</si>
  <si>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</si>
  <si>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</si>
  <si>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</si>
  <si>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</si>
  <si>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</si>
  <si>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</si>
  <si>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</si>
  <si>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</si>
  <si>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</si>
  <si>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</si>
  <si>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</si>
  <si>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</si>
  <si>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</si>
  <si>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</si>
  <si>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</si>
  <si>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</si>
  <si>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</si>
  <si>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</si>
  <si>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</si>
  <si>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</si>
  <si>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</si>
  <si>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</si>
  <si>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</si>
  <si>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</si>
  <si>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</si>
  <si>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</si>
  <si>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</si>
  <si>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</si>
  <si>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</si>
  <si>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</si>
  <si>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</si>
  <si>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</si>
  <si>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</si>
  <si>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</si>
  <si>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</si>
  <si>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</si>
  <si>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</si>
  <si>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</si>
  <si>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</si>
  <si>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</si>
  <si>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</si>
  <si>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</si>
  <si>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</si>
  <si>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</si>
  <si>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</si>
  <si>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</si>
  <si>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</si>
  <si>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</si>
  <si>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</si>
  <si>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</si>
  <si>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</si>
  <si>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</si>
  <si>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</si>
  <si>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</si>
  <si>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</si>
  <si>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</si>
  <si>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</si>
  <si>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</si>
  <si>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</si>
  <si>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</si>
  <si>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</si>
  <si>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</si>
  <si>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</si>
  <si>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</si>
  <si>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</si>
  <si>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</si>
  <si>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</si>
  <si>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</si>
  <si>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</si>
  <si>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</si>
  <si>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</si>
  <si>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</si>
  <si>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</si>
  <si>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</si>
  <si>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</si>
  <si>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</si>
  <si>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</si>
  <si>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</si>
  <si>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</si>
  <si>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</si>
  <si>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</si>
  <si>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</si>
  <si>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</si>
  <si>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</si>
  <si>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</si>
  <si>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</si>
  <si>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</si>
  <si>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</si>
  <si>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</si>
  <si>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</si>
  <si>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</si>
  <si>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</si>
  <si>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</si>
  <si>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</si>
  <si>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</si>
  <si>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</si>
  <si>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</si>
  <si>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</si>
  <si>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</si>
  <si>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</si>
  <si>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</si>
  <si>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</si>
  <si>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</si>
  <si>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</si>
  <si>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</si>
  <si>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</si>
  <si>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</si>
  <si>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</si>
  <si>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</si>
  <si>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</si>
  <si>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</si>
  <si>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</si>
  <si>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</si>
  <si>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</si>
  <si>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</si>
  <si>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</si>
  <si>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</si>
  <si>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</si>
  <si>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</si>
  <si>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</si>
  <si>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</si>
  <si>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</si>
  <si>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</si>
  <si>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</si>
  <si>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</si>
  <si>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</si>
  <si>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</si>
  <si>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</si>
  <si>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</si>
  <si>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</si>
  <si>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</si>
  <si>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</si>
  <si>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</si>
  <si>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</si>
  <si>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</si>
  <si>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</si>
  <si>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</si>
  <si>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</si>
  <si>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</si>
  <si>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</si>
  <si>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</si>
  <si>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</si>
  <si>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</si>
  <si>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</si>
  <si>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</si>
  <si>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</si>
  <si>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</si>
  <si>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</si>
  <si>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</si>
  <si>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</si>
  <si>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</si>
  <si>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</si>
  <si>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</si>
  <si>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</si>
  <si>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</si>
  <si>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</si>
  <si>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</si>
  <si>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</si>
  <si>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</si>
  <si>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</si>
  <si>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</si>
  <si>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</si>
  <si>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</si>
  <si>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</si>
  <si>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</si>
  <si>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</si>
  <si>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</si>
  <si>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</si>
  <si>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</si>
  <si>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</si>
  <si>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</si>
  <si>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</si>
  <si>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</si>
  <si>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</si>
  <si>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</si>
  <si>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</si>
  <si>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</si>
  <si>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</si>
  <si>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</si>
  <si>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</si>
  <si>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</si>
  <si>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</si>
  <si>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</si>
  <si>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</si>
  <si>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</si>
  <si>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</si>
  <si>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</si>
  <si>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</si>
  <si>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</si>
  <si>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</si>
  <si>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</si>
  <si>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</si>
  <si>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</si>
  <si>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</si>
  <si>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</si>
  <si>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</si>
  <si>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</si>
  <si>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</si>
  <si>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</si>
  <si>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</si>
  <si>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</si>
  <si>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</si>
  <si>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</si>
  <si>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</si>
  <si>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</si>
  <si>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</si>
  <si>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</si>
  <si>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</si>
  <si>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</si>
  <si>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</si>
  <si>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</si>
  <si>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</si>
  <si>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</si>
  <si>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</si>
  <si>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</si>
  <si>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</si>
  <si>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</si>
  <si>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</si>
  <si>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</si>
  <si>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</si>
  <si>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</si>
  <si>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</si>
  <si>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</si>
  <si>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</si>
  <si>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</si>
  <si>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</si>
  <si>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</si>
  <si>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</si>
  <si>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</si>
  <si>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</si>
  <si>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</si>
  <si>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</si>
  <si>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</si>
  <si>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</si>
  <si>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</si>
  <si>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</si>
  <si>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</si>
  <si>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</si>
  <si>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</si>
  <si>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</si>
  <si>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</si>
  <si>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</si>
  <si>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</si>
  <si>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</si>
  <si>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</si>
  <si>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</si>
  <si>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</si>
  <si>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</si>
  <si>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</si>
  <si>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</si>
  <si>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</si>
  <si>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</si>
  <si>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</si>
  <si>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</si>
  <si>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</si>
  <si>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</si>
  <si>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</si>
  <si>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</si>
  <si>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</si>
  <si>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</si>
  <si>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</si>
  <si>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</si>
  <si>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</si>
  <si>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</si>
  <si>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</si>
  <si>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</si>
  <si>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</si>
  <si>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</si>
  <si>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</si>
  <si>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</si>
  <si>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</si>
  <si>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</si>
  <si>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</si>
  <si>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</si>
  <si>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</si>
  <si>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</si>
  <si>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</si>
  <si>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</si>
  <si>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</si>
  <si>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</si>
  <si>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</si>
  <si>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</si>
  <si>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</si>
  <si>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</si>
  <si>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</si>
  <si>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</si>
  <si>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</si>
  <si>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</si>
  <si>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</si>
  <si>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</si>
  <si>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</si>
  <si>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</si>
  <si>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</si>
  <si>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</si>
  <si>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</si>
  <si>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</si>
  <si>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</si>
  <si>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</si>
  <si>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</si>
  <si>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</si>
  <si>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</si>
  <si>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</si>
  <si>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</si>
  <si>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</si>
  <si>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</si>
  <si>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</si>
  <si>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</si>
  <si>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</si>
  <si>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</si>
  <si>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</si>
  <si>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</si>
  <si>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</si>
  <si>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</si>
  <si>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</si>
  <si>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</si>
  <si>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</si>
  <si>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</si>
  <si>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</si>
  <si>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</si>
  <si>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</si>
  <si>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</si>
  <si>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</si>
  <si>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</si>
  <si>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</si>
  <si>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</si>
  <si>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</si>
  <si>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</si>
  <si>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</si>
  <si>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</si>
  <si>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</si>
  <si>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</si>
  <si>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</si>
  <si>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</si>
  <si>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</si>
  <si>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</si>
  <si>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</si>
  <si>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</si>
  <si>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</si>
  <si>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</si>
  <si>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</si>
  <si>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</si>
  <si>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</si>
  <si>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</si>
  <si>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</si>
  <si>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</si>
  <si>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</si>
  <si>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</si>
  <si>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</si>
  <si>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</si>
  <si>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</si>
  <si>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</si>
  <si>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</si>
  <si>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</si>
  <si>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</si>
  <si>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</si>
  <si>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</si>
  <si>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</si>
  <si>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</si>
  <si>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</si>
  <si>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</si>
  <si>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</si>
  <si>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</si>
  <si>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</si>
  <si>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</si>
  <si>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</si>
  <si>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</si>
  <si>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</si>
  <si>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</si>
  <si>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</si>
  <si>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</si>
  <si>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</si>
  <si>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</si>
  <si>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</si>
  <si>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</si>
  <si>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</si>
  <si>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</si>
  <si>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</si>
  <si>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</si>
  <si>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</si>
  <si>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</si>
  <si>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</si>
  <si>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</si>
  <si>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</si>
  <si>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</si>
  <si>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</si>
  <si>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</si>
  <si>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</si>
  <si>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</si>
  <si>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</si>
  <si>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</si>
  <si>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</si>
  <si>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</si>
  <si>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</si>
  <si>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</si>
  <si>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</si>
  <si>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</si>
  <si>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</si>
  <si>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</si>
  <si>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</si>
  <si>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</si>
  <si>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</si>
  <si>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</si>
  <si>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</si>
  <si>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</si>
  <si>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</si>
  <si>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</si>
  <si>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</si>
  <si>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</si>
  <si>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</si>
  <si>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</si>
  <si>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</si>
  <si>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</si>
  <si>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</si>
  <si>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</si>
  <si>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</si>
  <si>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</si>
  <si>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</si>
  <si>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</si>
  <si>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</si>
  <si>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</si>
  <si>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</si>
  <si>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</si>
  <si>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</si>
  <si>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</si>
  <si>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</si>
  <si>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</si>
  <si>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</si>
  <si>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</si>
  <si>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</si>
  <si>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</si>
  <si>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</si>
  <si>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</si>
  <si>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</si>
  <si>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</si>
  <si>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</si>
  <si>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</si>
  <si>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</si>
  <si>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</si>
  <si>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</si>
  <si>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</si>
  <si>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</si>
  <si>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</si>
  <si>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</si>
  <si>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</si>
  <si>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</si>
  <si>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</si>
  <si>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</si>
  <si>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</si>
  <si>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</si>
  <si>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</si>
  <si>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</si>
  <si>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</si>
  <si>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</si>
  <si>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</si>
  <si>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</si>
  <si>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</si>
  <si>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</si>
  <si>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</si>
  <si>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</si>
  <si>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</si>
  <si>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</si>
  <si>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</si>
  <si>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</si>
  <si>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</si>
  <si>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</si>
  <si>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</si>
  <si>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</si>
  <si>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</si>
  <si>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</si>
  <si>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</si>
  <si>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</si>
  <si>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</si>
  <si>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</si>
  <si>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</si>
  <si>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</si>
  <si>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</si>
  <si>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</si>
  <si>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</si>
  <si>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</si>
  <si>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</si>
  <si>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</si>
  <si>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</si>
  <si>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</si>
  <si>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</si>
  <si>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</si>
  <si>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</si>
  <si>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</si>
  <si>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</si>
  <si>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</si>
  <si>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</si>
  <si>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</si>
  <si>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</si>
  <si>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</si>
  <si>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</si>
  <si>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</si>
  <si>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</si>
  <si>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</si>
  <si>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</si>
  <si>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</si>
  <si>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</si>
  <si>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</si>
  <si>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</si>
  <si>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</si>
  <si>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</si>
  <si>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</si>
  <si>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</si>
  <si>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</si>
  <si>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</si>
  <si>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</si>
  <si>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</si>
  <si>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</si>
  <si>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</si>
  <si>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</si>
  <si>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</si>
  <si>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</si>
  <si>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</si>
  <si>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</si>
  <si>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</si>
  <si>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</si>
  <si>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</si>
  <si>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</si>
  <si>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</si>
  <si>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</si>
  <si>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</si>
  <si>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</si>
  <si>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</si>
  <si>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</si>
  <si>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</si>
  <si>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</si>
  <si>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</si>
  <si>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</si>
  <si>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</si>
  <si>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</si>
  <si>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</si>
  <si>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</si>
  <si>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</si>
  <si>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</si>
  <si>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</si>
  <si>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</si>
  <si>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</si>
  <si>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</si>
  <si>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</si>
  <si>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</si>
  <si>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</si>
  <si>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</si>
  <si>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</si>
  <si>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</si>
  <si>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</si>
  <si>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</si>
  <si>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</si>
  <si>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</si>
  <si>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</si>
  <si>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</si>
  <si>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</si>
  <si>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</si>
  <si>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</si>
  <si>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</si>
  <si>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</si>
  <si>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</si>
  <si>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</si>
  <si>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</si>
  <si>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</si>
  <si>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</si>
  <si>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</si>
  <si>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</si>
  <si>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</si>
  <si>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</si>
  <si>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</si>
  <si>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</si>
  <si>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</si>
  <si>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</si>
  <si>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</si>
  <si>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</si>
  <si>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</si>
  <si>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</si>
  <si>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</si>
  <si>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</si>
  <si>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</si>
  <si>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</si>
  <si>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</si>
  <si>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</si>
  <si>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</si>
  <si>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</si>
  <si>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</si>
  <si>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</si>
  <si>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</si>
  <si>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</si>
  <si>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</si>
  <si>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</si>
  <si>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</si>
  <si>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</si>
  <si>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</si>
  <si>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</si>
  <si>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</si>
  <si>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</si>
  <si>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</si>
  <si>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</si>
  <si>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</si>
  <si>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</si>
  <si>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</si>
  <si>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</si>
  <si>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</si>
  <si>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</si>
  <si>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</si>
  <si>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</si>
  <si>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</si>
  <si>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</si>
  <si>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</si>
  <si>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</si>
  <si>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</si>
  <si>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</si>
  <si>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</si>
  <si>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</si>
  <si>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</si>
  <si>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</si>
  <si>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</si>
  <si>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</si>
  <si>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</si>
  <si>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</si>
  <si>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</si>
  <si>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</si>
  <si>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</si>
  <si>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</si>
  <si>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</si>
  <si>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</si>
  <si>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</si>
  <si>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</si>
  <si>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</si>
  <si>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</si>
  <si>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</si>
  <si>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</si>
  <si>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</si>
  <si>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</si>
  <si>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</si>
  <si>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</si>
  <si>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</si>
  <si>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</si>
  <si>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</si>
  <si>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</si>
  <si>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</si>
  <si>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</si>
  <si>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</si>
  <si>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</si>
  <si>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</si>
  <si>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</si>
  <si>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</si>
  <si>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</si>
  <si>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</si>
  <si>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</si>
  <si>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</si>
  <si>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</si>
  <si>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</si>
  <si>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</si>
  <si>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</si>
  <si>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</si>
  <si>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</si>
  <si>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</si>
  <si>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</si>
  <si>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</si>
  <si>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</si>
  <si>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</si>
  <si>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</si>
  <si>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</si>
  <si>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</si>
  <si>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</si>
  <si>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</si>
  <si>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</si>
  <si>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</si>
  <si>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</si>
  <si>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</si>
  <si>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</si>
  <si>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</si>
  <si>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</si>
  <si>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</si>
  <si>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</si>
  <si>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</si>
  <si>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</si>
  <si>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</si>
  <si>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</si>
  <si>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</si>
  <si>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</si>
  <si>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</si>
  <si>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</si>
  <si>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</si>
  <si>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</si>
  <si>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</si>
  <si>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</si>
  <si>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</si>
  <si>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</si>
  <si>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</si>
  <si>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</si>
  <si>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</si>
  <si>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</si>
  <si>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</si>
  <si>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</si>
  <si>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</si>
  <si>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</si>
  <si>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</si>
  <si>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</si>
  <si>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</si>
  <si>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</si>
  <si>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</si>
  <si>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</si>
  <si>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</si>
  <si>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</si>
  <si>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</si>
  <si>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</si>
  <si>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</si>
  <si>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</si>
  <si>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</si>
  <si>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</si>
  <si>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</si>
  <si>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</si>
  <si>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</si>
  <si>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</si>
  <si>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</si>
  <si>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</si>
  <si>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</si>
  <si>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</si>
  <si>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</si>
  <si>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</si>
  <si>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</si>
  <si>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</si>
  <si>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</si>
  <si>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</si>
  <si>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</si>
  <si>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</si>
  <si>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</si>
  <si>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</si>
  <si>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</si>
  <si>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</si>
  <si>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</si>
  <si>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</si>
  <si>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</si>
  <si>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</si>
  <si>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</si>
  <si>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</si>
  <si>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</si>
  <si>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</si>
  <si>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</si>
  <si>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</si>
  <si>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</si>
  <si>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</si>
  <si>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</si>
  <si>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</si>
  <si>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</si>
  <si>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</si>
  <si>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</si>
  <si>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</si>
  <si>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</si>
  <si>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</si>
  <si>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</si>
  <si>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</si>
  <si>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</si>
  <si>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</si>
  <si>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</si>
  <si>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</si>
  <si>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</si>
  <si>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</si>
  <si>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</si>
  <si>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</si>
  <si>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</si>
  <si>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</si>
  <si>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</si>
  <si>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</si>
  <si>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</si>
  <si>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</si>
  <si>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</si>
  <si>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</si>
  <si>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</si>
  <si>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</si>
  <si>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</si>
  <si>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</si>
  <si>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</si>
  <si>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</si>
  <si>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</si>
  <si>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</si>
  <si>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</si>
  <si>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</si>
  <si>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</si>
  <si>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</si>
  <si>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</si>
  <si>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</si>
  <si>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</si>
  <si>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</si>
  <si>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</si>
  <si>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</si>
  <si>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</si>
  <si>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</si>
  <si>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</si>
  <si>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</si>
  <si>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</si>
  <si>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</si>
  <si>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</si>
  <si>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</si>
  <si>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</si>
  <si>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</si>
  <si>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</si>
  <si>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</si>
  <si>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</si>
  <si>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</si>
  <si>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</si>
  <si>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</si>
  <si>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</si>
  <si>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</si>
  <si>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</si>
  <si>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</si>
  <si>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</si>
  <si>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</si>
  <si>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</si>
  <si>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</si>
  <si>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</si>
  <si>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</si>
  <si>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</si>
  <si>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</si>
  <si>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</si>
  <si>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</si>
  <si>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</si>
  <si>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</si>
  <si>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</si>
  <si>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</si>
  <si>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</si>
  <si>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</si>
  <si>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</si>
  <si>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</si>
  <si>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</si>
  <si>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</si>
  <si>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</si>
  <si>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</si>
  <si>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</si>
  <si>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</si>
  <si>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</si>
  <si>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</si>
  <si>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</si>
  <si>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</si>
  <si>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</si>
  <si>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</si>
  <si>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</si>
  <si>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</si>
  <si>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</si>
  <si>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</si>
  <si>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</si>
  <si>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</si>
  <si>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</si>
  <si>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</si>
  <si>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</si>
  <si>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</si>
  <si>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</si>
  <si>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</si>
  <si>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</si>
  <si>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</si>
  <si>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</si>
  <si>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</si>
  <si>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</si>
  <si>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</si>
  <si>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</si>
  <si>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</si>
  <si>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</si>
  <si>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</si>
  <si>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</si>
  <si>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</si>
  <si>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</si>
  <si>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</si>
  <si>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</si>
  <si>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</si>
  <si>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</si>
  <si>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</si>
  <si>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</si>
  <si>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</si>
  <si>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</si>
  <si>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</si>
  <si>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</si>
  <si>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</si>
  <si>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</si>
  <si>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</si>
  <si>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</si>
  <si>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</si>
  <si>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</si>
  <si>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</si>
  <si>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</si>
  <si>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</si>
  <si>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</si>
  <si>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</si>
  <si>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</si>
  <si>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</si>
  <si>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</si>
  <si>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</si>
  <si>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</si>
  <si>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</si>
  <si>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</si>
  <si>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</si>
  <si>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</si>
  <si>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</si>
  <si>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</si>
  <si>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</si>
  <si>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</si>
  <si>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</si>
  <si>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</si>
  <si>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</si>
  <si>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</si>
  <si>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</si>
  <si>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</si>
  <si>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</si>
  <si>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</si>
  <si>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</si>
  <si>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</si>
  <si>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</si>
  <si>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</si>
  <si>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</si>
  <si>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</si>
  <si>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</si>
  <si>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</si>
  <si>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</si>
  <si>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</si>
  <si>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</si>
  <si>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</si>
  <si>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</si>
  <si>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</si>
  <si>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</si>
  <si>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</si>
  <si>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</si>
  <si>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</si>
  <si>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</si>
  <si>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</si>
  <si>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</si>
  <si>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</si>
  <si>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</si>
  <si>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</si>
  <si>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</si>
  <si>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</si>
  <si>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</si>
  <si>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</si>
  <si>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</si>
  <si>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</si>
  <si>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</si>
  <si>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</si>
  <si>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</si>
  <si>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</si>
  <si>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</si>
  <si>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</si>
  <si>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</si>
  <si>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</si>
  <si>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</si>
  <si>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</si>
  <si>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</si>
  <si>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</si>
  <si>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</si>
  <si>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</si>
  <si>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</si>
  <si>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</si>
  <si>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</si>
  <si>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</si>
  <si>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</si>
  <si>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</si>
  <si>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</si>
  <si>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</si>
  <si>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</si>
  <si>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</si>
  <si>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</si>
  <si>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</si>
  <si>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</si>
  <si>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</si>
  <si>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</si>
  <si>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</si>
  <si>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</si>
  <si>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</si>
  <si>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</si>
  <si>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</si>
  <si>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</si>
  <si>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</si>
  <si>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</si>
  <si>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</si>
  <si>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</si>
  <si>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</si>
  <si>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</si>
  <si>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</si>
  <si>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</si>
  <si>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</si>
  <si>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</si>
  <si>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</si>
  <si>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</si>
  <si>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</si>
  <si>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</si>
  <si>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</si>
  <si>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</si>
  <si>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</si>
  <si>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</si>
  <si>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</si>
  <si>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</si>
  <si>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</si>
  <si>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</si>
  <si>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</si>
  <si>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</si>
  <si>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</si>
  <si>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</si>
  <si>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</si>
  <si>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</si>
  <si>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</si>
  <si>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</si>
  <si>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</si>
  <si>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</si>
  <si>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</si>
  <si>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</si>
  <si>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</si>
  <si>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</si>
  <si>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</si>
  <si>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</si>
  <si>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</si>
  <si>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</si>
  <si>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</si>
  <si>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</si>
  <si>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</si>
  <si>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</si>
  <si>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</si>
  <si>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</si>
  <si>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</si>
  <si>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</si>
  <si>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</si>
  <si>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</si>
  <si>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</si>
  <si>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</si>
  <si>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</si>
  <si>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</si>
  <si>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</si>
  <si>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</si>
  <si>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</si>
  <si>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</si>
  <si>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</si>
  <si>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</si>
  <si>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</si>
  <si>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</si>
  <si>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</si>
  <si>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</si>
  <si>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</si>
  <si>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</si>
  <si>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</si>
  <si>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</si>
  <si>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</si>
  <si>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</si>
  <si>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</si>
  <si>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</si>
  <si>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</si>
  <si>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</si>
  <si>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</si>
  <si>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</si>
  <si>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</si>
  <si>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</si>
  <si>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</si>
  <si>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</si>
  <si>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</si>
  <si>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</si>
  <si>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</si>
  <si>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</si>
  <si>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</si>
  <si>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</si>
  <si>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</si>
  <si>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</si>
  <si>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</si>
  <si>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</si>
  <si>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</si>
  <si>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</si>
  <si>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</si>
  <si>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</si>
  <si>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</si>
  <si>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</si>
  <si>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</si>
  <si>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</si>
  <si>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</si>
  <si>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</si>
  <si>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</si>
  <si>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</si>
  <si>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</si>
  <si>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</si>
  <si>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</si>
  <si>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</si>
  <si>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</si>
  <si>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</si>
  <si>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</si>
  <si>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</si>
  <si>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</si>
  <si>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</si>
  <si>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</si>
  <si>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</si>
  <si>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</si>
  <si>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</si>
  <si>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</si>
  <si>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</si>
  <si>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</si>
  <si>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</si>
  <si>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</si>
  <si>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</si>
  <si>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</si>
  <si>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</si>
  <si>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</si>
  <si>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</si>
  <si>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</si>
  <si>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</si>
  <si>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</si>
  <si>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</si>
  <si>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</si>
  <si>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</si>
  <si>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</si>
  <si>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</si>
  <si>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</si>
  <si>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</si>
  <si>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</si>
  <si>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</si>
  <si>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</si>
  <si>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</si>
  <si>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</si>
  <si>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</si>
  <si>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</si>
  <si>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</si>
  <si>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</si>
  <si>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</si>
  <si>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</si>
  <si>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</si>
  <si>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</si>
  <si>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</si>
  <si>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</si>
  <si>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</si>
  <si>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</si>
  <si>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</si>
  <si>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</si>
  <si>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</si>
  <si>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</si>
  <si>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</si>
  <si>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</si>
  <si>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</si>
  <si>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</si>
  <si>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</si>
  <si>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</si>
  <si>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</si>
  <si>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</si>
  <si>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</si>
  <si>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</si>
  <si>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</si>
  <si>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</si>
  <si>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</si>
  <si>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</si>
  <si>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</si>
  <si>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</si>
  <si>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</si>
  <si>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</si>
  <si>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</si>
  <si>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</si>
  <si>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</si>
  <si>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</si>
  <si>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</si>
  <si>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</si>
  <si>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</si>
  <si>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</si>
  <si>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</si>
  <si>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</si>
  <si>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</si>
  <si>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</si>
  <si>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</si>
  <si>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</si>
  <si>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</si>
  <si>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</si>
  <si>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</si>
  <si>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</si>
  <si>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</si>
  <si>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</si>
  <si>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</si>
  <si>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</si>
  <si>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</si>
  <si>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</si>
  <si>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</si>
  <si>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</si>
  <si>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</si>
  <si>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</si>
  <si>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</si>
  <si>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</si>
  <si>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</si>
  <si>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</si>
  <si>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</si>
  <si>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</si>
  <si>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</si>
  <si>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</si>
  <si>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</si>
  <si>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</si>
  <si>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</si>
  <si>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</si>
  <si>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</si>
  <si>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</si>
  <si>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</si>
  <si>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</si>
  <si>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</si>
  <si>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</si>
  <si>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</si>
  <si>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</si>
  <si>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</si>
  <si>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</si>
  <si>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</si>
  <si>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</si>
  <si>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</si>
  <si>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</si>
  <si>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</si>
  <si>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</si>
  <si>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</si>
  <si>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</si>
  <si>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</si>
  <si>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</si>
  <si>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</si>
  <si>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</si>
  <si>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</si>
  <si>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</si>
  <si>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</si>
  <si>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</si>
  <si>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</si>
  <si>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</si>
  <si>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</si>
  <si>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</si>
  <si>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</si>
  <si>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</si>
  <si>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</si>
  <si>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</si>
  <si>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</si>
  <si>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</si>
  <si>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</si>
  <si>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</si>
  <si>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</si>
  <si>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</si>
  <si>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</si>
  <si>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</si>
  <si>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</si>
  <si>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</si>
  <si>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</si>
  <si>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</si>
  <si>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</si>
  <si>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</si>
  <si>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</si>
  <si>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</si>
  <si>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</si>
  <si>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</si>
  <si>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</si>
  <si>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</si>
  <si>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</si>
  <si>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</si>
  <si>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</si>
  <si>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</si>
  <si>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</si>
  <si>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</si>
  <si>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</si>
  <si>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</si>
  <si>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</si>
  <si>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</si>
  <si>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</si>
  <si>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</si>
  <si>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</si>
  <si>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</si>
  <si>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</si>
  <si>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</si>
  <si>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</si>
  <si>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</si>
  <si>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</si>
  <si>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</si>
  <si>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</si>
  <si>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</si>
  <si>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</si>
  <si>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</si>
  <si>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</si>
  <si>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</si>
  <si>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</si>
  <si>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</si>
  <si>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</si>
  <si>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</si>
  <si>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</si>
  <si>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</si>
  <si>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</si>
  <si>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</si>
  <si>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</si>
  <si>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</si>
  <si>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</si>
  <si>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</si>
  <si>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</si>
  <si>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</si>
  <si>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</si>
  <si>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</si>
  <si>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</si>
  <si>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</si>
  <si>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</si>
  <si>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</si>
  <si>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</si>
  <si>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</si>
  <si>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</si>
  <si>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</si>
  <si>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</si>
  <si>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</si>
  <si>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</si>
  <si>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</si>
  <si>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</si>
  <si>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</si>
  <si>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</si>
  <si>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</si>
  <si>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</si>
  <si>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</si>
  <si>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</si>
  <si>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</si>
  <si>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</si>
  <si>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</si>
  <si>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</si>
  <si>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</si>
  <si>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</si>
  <si>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</si>
  <si>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</si>
  <si>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</si>
  <si>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</si>
  <si>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</si>
  <si>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</si>
  <si>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</si>
  <si>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</si>
  <si>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</si>
  <si>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</si>
  <si>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</si>
  <si>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</si>
  <si>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</si>
  <si>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</si>
  <si>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</si>
  <si>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</si>
  <si>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</si>
  <si>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</si>
  <si>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</si>
  <si>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</si>
  <si>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</si>
  <si>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</si>
  <si>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</si>
  <si>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</si>
  <si>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</si>
  <si>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</si>
  <si>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</si>
  <si>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</si>
  <si>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</si>
  <si>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</si>
  <si>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</si>
  <si>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</si>
  <si>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</si>
  <si>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</si>
  <si>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</si>
  <si>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</si>
  <si>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</si>
  <si>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</si>
  <si>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</si>
  <si>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</si>
  <si>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</si>
  <si>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</si>
  <si>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</si>
  <si>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</si>
  <si>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</si>
  <si>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</si>
  <si>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</si>
  <si>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</si>
  <si>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</si>
  <si>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</si>
  <si>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</si>
  <si>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</si>
  <si>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</si>
  <si>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</si>
  <si>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</si>
  <si>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</si>
  <si>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</si>
  <si>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</si>
  <si>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</si>
  <si>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</si>
  <si>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</si>
  <si>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</si>
  <si>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</si>
  <si>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</si>
  <si>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</si>
  <si>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</si>
  <si>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</si>
  <si>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</si>
  <si>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</si>
  <si>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</si>
  <si>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</si>
  <si>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</si>
  <si>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</si>
  <si>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</si>
  <si>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</si>
  <si>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</si>
  <si>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</si>
  <si>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</si>
  <si>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</si>
  <si>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</si>
  <si>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</si>
  <si>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</si>
  <si>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</si>
  <si>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</si>
  <si>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</si>
  <si>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</si>
  <si>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</si>
  <si>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</si>
  <si>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</si>
  <si>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</si>
  <si>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</si>
  <si>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</si>
  <si>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</si>
  <si>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</si>
  <si>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</si>
  <si>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</si>
  <si>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</si>
  <si>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</si>
  <si>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</si>
  <si>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</si>
  <si>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</si>
  <si>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</si>
  <si>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</si>
  <si>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</si>
  <si>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</si>
  <si>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</si>
  <si>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</si>
  <si>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</si>
  <si>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</si>
  <si>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</si>
  <si>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</si>
  <si>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</si>
  <si>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</si>
  <si>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</si>
  <si>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</si>
  <si>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</si>
  <si>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</si>
  <si>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</si>
  <si>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</si>
  <si>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</si>
  <si>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</si>
  <si>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</si>
  <si>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</si>
  <si>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</si>
  <si>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</si>
  <si>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</si>
  <si>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</si>
  <si>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</si>
  <si>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</si>
  <si>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</si>
  <si>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</si>
  <si>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</si>
  <si>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</si>
  <si>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</si>
  <si>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</si>
  <si>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</si>
  <si>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</si>
  <si>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</si>
  <si>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</si>
  <si>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</si>
  <si>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</si>
  <si>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</si>
  <si>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</si>
  <si>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</si>
  <si>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</si>
  <si>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</si>
  <si>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</si>
  <si>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</si>
  <si>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</si>
  <si>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</si>
  <si>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</si>
  <si>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</si>
  <si>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</si>
  <si>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</si>
  <si>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</si>
  <si>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</si>
  <si>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</si>
  <si>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</si>
  <si>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</si>
  <si>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</si>
  <si>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</si>
  <si>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</si>
  <si>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</si>
  <si>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</si>
  <si>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</si>
  <si>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</si>
  <si>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</si>
  <si>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</si>
  <si>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</si>
  <si>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</si>
  <si>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</si>
  <si>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</si>
  <si>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</si>
  <si>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</si>
  <si>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</si>
  <si>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</si>
  <si>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</si>
  <si>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</si>
  <si>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</si>
  <si>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</si>
  <si>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</si>
  <si>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</si>
  <si>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</si>
  <si>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</si>
  <si>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</si>
  <si>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</si>
  <si>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</si>
  <si>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</si>
  <si>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</si>
  <si>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</si>
  <si>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</si>
  <si>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</si>
  <si>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</si>
  <si>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</si>
  <si>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</si>
  <si>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</si>
  <si>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</si>
  <si>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</si>
  <si>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</si>
  <si>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</si>
  <si>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</si>
  <si>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</si>
  <si>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</si>
  <si>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</si>
  <si>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</si>
  <si>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</si>
  <si>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</si>
  <si>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</si>
  <si>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</si>
  <si>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</si>
  <si>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</si>
  <si>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</si>
  <si>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</si>
  <si>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</si>
  <si>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</si>
  <si>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</si>
  <si>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</si>
  <si>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</si>
  <si>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</si>
  <si>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</si>
  <si>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</si>
  <si>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</si>
  <si>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</si>
  <si>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</si>
  <si>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</si>
  <si>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</si>
  <si>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</si>
  <si>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</si>
  <si>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</si>
  <si>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</si>
  <si>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</si>
  <si>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</si>
  <si>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</si>
  <si>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</si>
  <si>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</si>
  <si>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</si>
  <si>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</si>
  <si>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</si>
  <si>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</si>
  <si>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</si>
  <si>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</si>
  <si>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</si>
  <si>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</si>
  <si>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</si>
  <si>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</si>
  <si>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</si>
  <si>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</si>
  <si>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</si>
  <si>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</si>
  <si>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</si>
  <si>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</si>
  <si>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</si>
  <si>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</si>
  <si>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</si>
  <si>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</si>
  <si>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</si>
  <si>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</si>
  <si>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</si>
  <si>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</si>
  <si>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</si>
  <si>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</si>
  <si>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</si>
  <si>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</si>
  <si>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</si>
  <si>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</si>
  <si>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</si>
  <si>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</si>
  <si>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</si>
  <si>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</si>
  <si>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</si>
  <si>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</si>
  <si>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</si>
  <si>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</si>
  <si>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</si>
  <si>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</si>
  <si>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</si>
  <si>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</si>
  <si>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</si>
  <si>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</si>
  <si>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</si>
  <si>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</si>
  <si>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</si>
  <si>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</si>
  <si>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</si>
  <si>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</si>
  <si>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</si>
  <si>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</si>
  <si>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</si>
  <si>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</si>
  <si>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</si>
  <si>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</si>
  <si>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</si>
  <si>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</si>
  <si>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</si>
  <si>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</si>
  <si>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</si>
  <si>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</si>
  <si>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</si>
  <si>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</si>
  <si>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</si>
  <si>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</si>
  <si>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</si>
  <si>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</si>
  <si>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</si>
  <si>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</si>
  <si>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</si>
  <si>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</si>
  <si>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</si>
  <si>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</si>
  <si>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</si>
  <si>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</si>
  <si>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</si>
  <si>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</si>
  <si>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</si>
  <si>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</si>
  <si>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</si>
  <si>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</si>
  <si>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</si>
  <si>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</si>
  <si>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</si>
  <si>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</si>
  <si>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</si>
  <si>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</si>
  <si>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</si>
  <si>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</si>
  <si>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</si>
  <si>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</si>
  <si>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</si>
  <si>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</si>
  <si>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</si>
  <si>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</si>
  <si>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</si>
  <si>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</si>
  <si>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</si>
  <si>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</si>
  <si>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</si>
  <si>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</si>
  <si>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</si>
  <si>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</si>
  <si>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</si>
  <si>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</si>
  <si>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</si>
  <si>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</si>
  <si>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</si>
  <si>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</si>
  <si>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</si>
  <si>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</si>
  <si>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</si>
  <si>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</si>
  <si>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</si>
  <si>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</si>
  <si>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</si>
  <si>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</si>
  <si>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</si>
  <si>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</si>
  <si>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</si>
  <si>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</si>
  <si>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</si>
  <si>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</si>
  <si>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</si>
  <si>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</si>
  <si>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</si>
  <si>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</si>
  <si>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</si>
  <si>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</si>
  <si>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</si>
  <si>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</si>
  <si>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</si>
  <si>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</si>
  <si>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</si>
  <si>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</si>
  <si>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</si>
  <si>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</si>
  <si>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</si>
  <si>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</si>
  <si>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</si>
  <si>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</si>
  <si>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</si>
  <si>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</si>
  <si>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</si>
  <si>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</si>
  <si>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</si>
  <si>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</si>
  <si>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</si>
  <si>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</si>
  <si>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</si>
  <si>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</si>
  <si>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</si>
  <si>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</si>
  <si>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</si>
  <si>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</si>
  <si>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</si>
  <si>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</si>
  <si>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</si>
  <si>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</si>
  <si>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</si>
  <si>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</si>
  <si>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</si>
  <si>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</si>
  <si>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</si>
  <si>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</si>
  <si>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</si>
  <si>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</si>
  <si>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</si>
  <si>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</si>
  <si>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</si>
  <si>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</si>
  <si>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</si>
  <si>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</si>
  <si>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</si>
  <si>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</si>
  <si>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</si>
  <si>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</si>
  <si>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</si>
  <si>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</si>
  <si>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</si>
  <si>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</si>
  <si>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</si>
  <si>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</si>
  <si>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</si>
  <si>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</si>
  <si>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</si>
  <si>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</si>
  <si>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</si>
  <si>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</si>
  <si>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</si>
  <si>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</si>
  <si>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</si>
  <si>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</si>
  <si>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</si>
  <si>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</si>
  <si>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</si>
  <si>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</si>
  <si>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</si>
  <si>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</si>
  <si>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</si>
  <si>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</si>
  <si>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</si>
  <si>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</si>
  <si>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</si>
  <si>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</si>
  <si>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</si>
  <si>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</si>
  <si>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</si>
  <si>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</si>
  <si>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</si>
  <si>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</si>
  <si>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</si>
  <si>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</si>
  <si>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</si>
  <si>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</si>
  <si>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</si>
  <si>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</si>
  <si>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</si>
  <si>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</si>
  <si>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</si>
  <si>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</si>
  <si>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</si>
  <si>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</si>
  <si>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</si>
  <si>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</si>
  <si>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</si>
  <si>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</si>
  <si>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</si>
  <si>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</si>
  <si>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</si>
  <si>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</si>
  <si>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</si>
  <si>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</si>
  <si>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</si>
  <si>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</si>
  <si>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</si>
  <si>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</si>
  <si>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</si>
  <si>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</si>
  <si>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</si>
  <si>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</si>
  <si>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</si>
  <si>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</si>
  <si>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</si>
  <si>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</si>
  <si>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</si>
  <si>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</si>
  <si>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</si>
  <si>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</si>
  <si>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</si>
  <si>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</si>
  <si>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</si>
  <si>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</si>
  <si>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</si>
  <si>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</si>
  <si>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</si>
  <si>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</si>
  <si>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</si>
  <si>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</si>
  <si>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</si>
  <si>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</si>
  <si>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</si>
  <si>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</si>
  <si>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</si>
  <si>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</si>
  <si>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</si>
  <si>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</si>
  <si>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</si>
  <si>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</si>
  <si>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</si>
  <si>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</si>
  <si>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</si>
  <si>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</si>
  <si>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</si>
  <si>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</si>
  <si>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</si>
  <si>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</si>
  <si>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</si>
  <si>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</si>
  <si>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</si>
  <si>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</si>
  <si>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</si>
  <si>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</si>
  <si>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</si>
  <si>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</si>
  <si>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</si>
  <si>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</si>
  <si>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</si>
  <si>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</si>
  <si>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</si>
  <si>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</si>
  <si>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</si>
  <si>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</si>
  <si>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</si>
  <si>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</si>
  <si>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</si>
  <si>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</si>
  <si>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</si>
  <si>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</si>
  <si>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</si>
  <si>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</si>
  <si>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</si>
  <si>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</si>
  <si>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</si>
  <si>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</si>
  <si>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</si>
  <si>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</si>
  <si>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</si>
  <si>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</si>
  <si>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</si>
  <si>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</si>
  <si>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</si>
  <si>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</si>
  <si>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</si>
  <si>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</si>
  <si>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</si>
  <si>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</si>
  <si>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</si>
  <si>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</si>
  <si>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</si>
  <si>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</si>
  <si>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</si>
  <si>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</si>
  <si>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</si>
  <si>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</si>
  <si>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</si>
  <si>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</si>
  <si>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</si>
  <si>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</si>
  <si>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</si>
  <si>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</si>
  <si>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</si>
  <si>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</si>
  <si>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</si>
  <si>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</si>
  <si>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</si>
  <si>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</si>
  <si>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</si>
  <si>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</si>
  <si>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</si>
  <si>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</si>
  <si>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</si>
  <si>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</si>
  <si>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</si>
  <si>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</si>
  <si>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</si>
  <si>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</si>
  <si>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</si>
  <si>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</si>
  <si>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</si>
  <si>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</si>
  <si>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</si>
  <si>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</si>
  <si>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</si>
  <si>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</si>
  <si>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</si>
  <si>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</si>
  <si>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</si>
  <si>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</si>
  <si>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</si>
  <si>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</si>
  <si>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</si>
  <si>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</si>
  <si>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</si>
  <si>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</si>
  <si>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</si>
  <si>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</si>
  <si>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</si>
  <si>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</si>
  <si>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</si>
  <si>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</si>
  <si>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</si>
  <si>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</si>
  <si>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</si>
  <si>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</si>
  <si>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</si>
  <si>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</si>
  <si>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</si>
  <si>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</si>
  <si>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</si>
  <si>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</si>
  <si>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</si>
  <si>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</si>
  <si>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</si>
  <si>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</si>
  <si>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</si>
  <si>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</si>
  <si>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</si>
  <si>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</si>
  <si>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</si>
  <si>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</si>
  <si>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</si>
  <si>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</si>
  <si>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</si>
  <si>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</si>
  <si>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</si>
  <si>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</si>
  <si>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</si>
  <si>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</si>
  <si>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</si>
  <si>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</si>
  <si>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</si>
  <si>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</si>
  <si>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</si>
  <si>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</si>
  <si>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</si>
  <si>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</si>
  <si>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</si>
  <si>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</si>
  <si>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</si>
  <si>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</si>
  <si>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</si>
  <si>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</si>
  <si>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</si>
  <si>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</si>
  <si>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</si>
  <si>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</si>
  <si>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</si>
  <si>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</si>
  <si>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</si>
  <si>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</si>
  <si>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</si>
  <si>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</si>
  <si>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</si>
  <si>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</si>
  <si>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</si>
  <si>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</si>
  <si>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</si>
  <si>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</si>
  <si>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</si>
  <si>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</si>
  <si>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</si>
  <si>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</si>
  <si>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</si>
  <si>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</si>
  <si>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</si>
  <si>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</si>
  <si>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</si>
  <si>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</si>
  <si>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</si>
  <si>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</si>
  <si>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</si>
  <si>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</si>
  <si>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</si>
  <si>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</si>
  <si>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</si>
  <si>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</si>
  <si>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</si>
  <si>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</si>
  <si>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</si>
  <si>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</si>
  <si>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</si>
  <si>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</si>
  <si>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</si>
  <si>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</si>
  <si>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</si>
  <si>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</si>
  <si>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</si>
  <si>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</si>
  <si>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</si>
  <si>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</si>
  <si>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</si>
  <si>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</si>
  <si>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</si>
  <si>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</si>
  <si>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</si>
  <si>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</si>
  <si>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</si>
  <si>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</si>
  <si>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</si>
  <si>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</si>
  <si>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</si>
  <si>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</si>
  <si>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</si>
  <si>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</si>
  <si>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</si>
  <si>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</si>
  <si>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</si>
  <si>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</si>
  <si>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</si>
  <si>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</si>
  <si>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</si>
  <si>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</si>
  <si>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</si>
  <si>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</si>
  <si>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</si>
  <si>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</si>
  <si>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</si>
  <si>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</si>
  <si>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</si>
  <si>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</si>
  <si>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</si>
  <si>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</si>
  <si>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</si>
  <si>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</si>
  <si>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</si>
  <si>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</si>
  <si>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</si>
  <si>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</si>
  <si>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</si>
  <si>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</si>
  <si>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</si>
  <si>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</si>
  <si>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</si>
  <si>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</si>
  <si>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</si>
  <si>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</si>
  <si>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</si>
  <si>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</si>
  <si>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</si>
  <si>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</si>
  <si>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</si>
  <si>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</si>
  <si>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</si>
  <si>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</si>
  <si>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</si>
  <si>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</si>
  <si>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</si>
  <si>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</si>
  <si>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</si>
  <si>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</si>
  <si>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</si>
  <si>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</si>
  <si>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</si>
  <si>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</si>
  <si>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</si>
  <si>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</si>
  <si>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</si>
  <si>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</si>
  <si>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</si>
  <si>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</si>
  <si>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</si>
  <si>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</si>
  <si>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</si>
  <si>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</si>
  <si>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</si>
  <si>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</si>
  <si>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</si>
  <si>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</si>
  <si>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</si>
  <si>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</si>
  <si>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</si>
  <si>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</si>
  <si>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</si>
  <si>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</si>
  <si>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</si>
  <si>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</si>
  <si>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</si>
  <si>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</si>
  <si>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</si>
  <si>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</si>
  <si>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</si>
  <si>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</si>
  <si>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</si>
  <si>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</si>
  <si>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</si>
  <si>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</si>
  <si>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</si>
  <si>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</si>
  <si>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</si>
  <si>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</si>
  <si>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</si>
  <si>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</si>
  <si>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</si>
  <si>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</si>
  <si>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</si>
  <si>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</si>
  <si>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</si>
  <si>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</si>
  <si>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</si>
  <si>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</si>
  <si>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</si>
  <si>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</si>
  <si>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</si>
  <si>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</si>
  <si>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</si>
  <si>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</si>
  <si>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</si>
  <si>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</si>
  <si>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</si>
  <si>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</si>
  <si>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</si>
  <si>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</si>
  <si>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</si>
  <si>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</si>
  <si>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</si>
  <si>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</si>
  <si>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</si>
  <si>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</si>
  <si>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</si>
  <si>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</si>
  <si>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</si>
  <si>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</si>
  <si>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</si>
  <si>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</si>
  <si>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</si>
  <si>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</si>
  <si>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</si>
  <si>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</si>
  <si>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</si>
  <si>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</si>
  <si>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</si>
  <si>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</si>
  <si>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</si>
  <si>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</si>
  <si>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</si>
  <si>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</si>
  <si>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</si>
  <si>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</si>
  <si>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</si>
  <si>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</si>
  <si>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</si>
  <si>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</si>
  <si>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</si>
  <si>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</si>
  <si>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</si>
  <si>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</si>
  <si>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</si>
  <si>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</si>
  <si>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</si>
  <si>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</si>
  <si>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</si>
  <si>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</si>
  <si>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</si>
  <si>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</si>
  <si>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</si>
  <si>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</si>
  <si>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</si>
  <si>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</si>
  <si>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</si>
  <si>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</si>
  <si>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</si>
  <si>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</si>
  <si>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</si>
  <si>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</si>
  <si>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</si>
  <si>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</si>
  <si>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</si>
  <si>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</si>
  <si>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</si>
  <si>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</si>
  <si>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</si>
  <si>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</si>
  <si>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</si>
  <si>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</si>
  <si>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</si>
  <si>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</si>
  <si>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</si>
  <si>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</si>
  <si>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</si>
  <si>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</si>
  <si>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</si>
  <si>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</si>
  <si>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</si>
  <si>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</si>
  <si>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</si>
  <si>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</si>
  <si>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</si>
  <si>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</si>
  <si>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</si>
  <si>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</si>
  <si>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</si>
  <si>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</si>
  <si>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</si>
  <si>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</si>
  <si>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</si>
  <si>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</si>
  <si>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</si>
  <si>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</si>
  <si>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</si>
  <si>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</si>
  <si>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</si>
  <si>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</si>
  <si>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</si>
  <si>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</si>
  <si>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</si>
  <si>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</si>
  <si>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</si>
  <si>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</si>
  <si>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</si>
  <si>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</si>
  <si>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</si>
  <si>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</si>
  <si>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</si>
  <si>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</si>
  <si>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</si>
  <si>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</si>
  <si>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</si>
  <si>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</si>
  <si>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</si>
  <si>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</si>
  <si>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</si>
  <si>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</si>
  <si>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</si>
  <si>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</si>
  <si>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</si>
  <si>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</si>
  <si>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</si>
  <si>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</si>
  <si>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</si>
  <si>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</si>
  <si>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</si>
  <si>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</si>
  <si>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</si>
  <si>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</si>
  <si>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</si>
  <si>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</si>
  <si>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</si>
  <si>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</si>
  <si>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</si>
  <si>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</si>
  <si>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</si>
  <si>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</si>
  <si>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</si>
  <si>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</si>
  <si>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</si>
  <si>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</si>
  <si>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</si>
  <si>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</si>
  <si>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</si>
  <si>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</si>
  <si>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</si>
  <si>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</si>
  <si>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</si>
  <si>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</si>
  <si>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</si>
  <si>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</si>
  <si>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</si>
  <si>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</si>
  <si>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</si>
  <si>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</si>
  <si>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</si>
  <si>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</si>
  <si>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</si>
  <si>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</si>
  <si>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</si>
  <si>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</si>
  <si>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</si>
  <si>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</si>
  <si>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</si>
  <si>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</si>
  <si>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</si>
  <si>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</si>
  <si>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</si>
  <si>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</si>
  <si>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</si>
  <si>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</si>
  <si>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</si>
  <si>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</si>
  <si>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</si>
  <si>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</si>
  <si>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</si>
  <si>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</si>
  <si>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</si>
  <si>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</si>
  <si>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</si>
  <si>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</si>
  <si>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</si>
  <si>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</si>
  <si>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</si>
  <si>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</si>
  <si>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</si>
  <si>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</si>
  <si>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</si>
  <si>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</si>
  <si>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</si>
  <si>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</si>
  <si>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</si>
  <si>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</si>
  <si>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</si>
  <si>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</si>
  <si>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</si>
  <si>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</si>
  <si>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</si>
  <si>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</si>
  <si>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</si>
  <si>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</si>
  <si>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</si>
  <si>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</si>
  <si>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</si>
  <si>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</si>
  <si>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</si>
  <si>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</si>
  <si>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</si>
  <si>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</si>
  <si>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</si>
  <si>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</si>
  <si>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</si>
  <si>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</si>
  <si>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</si>
  <si>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</si>
  <si>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</si>
  <si>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</si>
  <si>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</si>
  <si>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</si>
  <si>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</si>
  <si>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</si>
  <si>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</si>
  <si>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</si>
  <si>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</si>
  <si>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</si>
  <si>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</si>
  <si>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</si>
  <si>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</si>
  <si>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</si>
  <si>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</si>
  <si>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</si>
  <si>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</si>
  <si>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</si>
  <si>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</si>
  <si>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</si>
  <si>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</si>
  <si>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</si>
  <si>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</si>
  <si>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</si>
  <si>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</si>
  <si>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</si>
  <si>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</si>
  <si>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</si>
  <si>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</si>
  <si>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</si>
  <si>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</si>
  <si>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</si>
  <si>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</si>
  <si>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</si>
  <si>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</si>
  <si>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</si>
  <si>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</si>
  <si>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</si>
  <si>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</si>
  <si>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</si>
  <si>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</si>
  <si>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</si>
  <si>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</si>
  <si>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</si>
  <si>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</si>
  <si>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</si>
  <si>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</si>
  <si>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</si>
  <si>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</si>
  <si>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</si>
  <si>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</si>
  <si>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</si>
  <si>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</si>
  <si>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</si>
  <si>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</si>
  <si>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</si>
  <si>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</si>
  <si>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</si>
  <si>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</si>
  <si>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</si>
  <si>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</si>
  <si>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</si>
  <si>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</si>
  <si>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</si>
  <si>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</si>
  <si>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</si>
  <si>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</si>
  <si>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</si>
  <si>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</si>
  <si>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</si>
  <si>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</si>
  <si>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</si>
  <si>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</si>
  <si>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</si>
  <si>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</si>
  <si>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</si>
  <si>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</si>
  <si>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</si>
  <si>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</si>
  <si>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</si>
  <si>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</si>
  <si>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</si>
  <si>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</si>
  <si>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</si>
  <si>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</si>
  <si>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</si>
  <si>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</si>
  <si>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</si>
  <si>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</si>
  <si>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</si>
  <si>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</si>
  <si>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</si>
  <si>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</si>
  <si>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</si>
  <si>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</si>
  <si>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</si>
  <si>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</si>
  <si>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</si>
  <si>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</si>
  <si>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</si>
  <si>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</si>
  <si>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</si>
  <si>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</si>
  <si>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</si>
  <si>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</si>
  <si>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</si>
  <si>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</si>
  <si>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</si>
  <si>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</si>
  <si>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</si>
  <si>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</si>
  <si>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</si>
  <si>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</si>
  <si>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</si>
  <si>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</si>
  <si>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</si>
  <si>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</si>
  <si>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</si>
  <si>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</si>
  <si>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</si>
  <si>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</si>
  <si>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</si>
  <si>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</si>
  <si>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</si>
  <si>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</si>
  <si>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</si>
  <si>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</si>
  <si>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</si>
  <si>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</si>
  <si>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</si>
  <si>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</si>
  <si>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</si>
  <si>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</si>
  <si>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</si>
  <si>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</si>
  <si>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</si>
  <si>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</si>
  <si>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</si>
  <si>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</si>
  <si>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</si>
  <si>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</si>
  <si>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</si>
  <si>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</si>
  <si>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</si>
  <si>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</si>
  <si>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</si>
  <si>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</si>
  <si>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</si>
  <si>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</si>
  <si>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</si>
  <si>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</si>
  <si>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</si>
  <si>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</si>
  <si>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</si>
  <si>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</si>
  <si>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</si>
  <si>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</si>
  <si>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</si>
  <si>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</si>
  <si>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</si>
  <si>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</si>
  <si>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</si>
  <si>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</si>
  <si>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</si>
  <si>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</si>
  <si>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</si>
  <si>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</si>
  <si>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</si>
  <si>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</si>
  <si>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</si>
  <si>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</si>
  <si>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</si>
  <si>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</si>
  <si>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</si>
  <si>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</si>
  <si>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</si>
  <si>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</si>
  <si>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</si>
  <si>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</si>
  <si>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</si>
  <si>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</si>
  <si>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</si>
  <si>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</si>
  <si>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</si>
  <si>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</si>
  <si>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</si>
  <si>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</si>
  <si>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</si>
  <si>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</si>
  <si>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</si>
  <si>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</si>
  <si>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</si>
  <si>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</si>
  <si>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</si>
  <si>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</si>
  <si>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</si>
  <si>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</si>
  <si>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</si>
  <si>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</si>
  <si>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</si>
  <si>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</si>
  <si>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</si>
  <si>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</si>
  <si>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</si>
  <si>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</si>
  <si>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</si>
  <si>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</si>
  <si>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</si>
  <si>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</si>
  <si>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</si>
  <si>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</si>
  <si>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</si>
  <si>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</si>
  <si>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</si>
  <si>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</si>
  <si>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</si>
  <si>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</si>
  <si>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</si>
  <si>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</si>
  <si>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</si>
  <si>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</si>
  <si>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</si>
  <si>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</si>
  <si>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</si>
  <si>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</si>
  <si>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</si>
  <si>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</si>
  <si>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</si>
  <si>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</si>
  <si>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</si>
  <si>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</si>
  <si>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</si>
  <si>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</si>
  <si>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</si>
  <si>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</si>
  <si>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</si>
  <si>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</si>
  <si>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</si>
  <si>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</si>
  <si>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</si>
  <si>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</si>
  <si>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</si>
  <si>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</si>
  <si>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</si>
  <si>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</si>
  <si>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</si>
  <si>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</si>
  <si>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</si>
  <si>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</si>
  <si>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</si>
  <si>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</si>
  <si>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</si>
  <si>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</si>
  <si>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</si>
  <si>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</si>
  <si>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</si>
  <si>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</si>
  <si>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</si>
  <si>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</si>
  <si>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</si>
  <si>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</si>
  <si>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</si>
  <si>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</si>
  <si>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</si>
  <si>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</si>
  <si>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</si>
  <si>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</si>
  <si>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</si>
  <si>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</si>
  <si>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</si>
  <si>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</si>
  <si>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</si>
  <si>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</si>
  <si>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</si>
  <si>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</si>
  <si>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</si>
  <si>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</si>
  <si>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</si>
  <si>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</si>
  <si>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</si>
  <si>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</si>
  <si>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</si>
  <si>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</si>
  <si>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</si>
  <si>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</si>
  <si>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</si>
  <si>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</si>
  <si>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</si>
  <si>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</si>
  <si>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</si>
  <si>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</si>
  <si>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</si>
  <si>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</si>
  <si>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</si>
  <si>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</si>
  <si>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</si>
  <si>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</si>
  <si>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</si>
  <si>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</si>
  <si>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</si>
  <si>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</si>
  <si>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</si>
  <si>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</si>
  <si>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</si>
  <si>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</si>
  <si>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</si>
  <si>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</si>
  <si>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</si>
  <si>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</si>
  <si>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</si>
  <si>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</si>
  <si>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</si>
  <si>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</si>
  <si>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</si>
  <si>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</si>
  <si>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</si>
  <si>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</si>
  <si>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</si>
  <si>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</si>
  <si>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</si>
  <si>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</si>
  <si>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</si>
  <si>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</si>
  <si>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</si>
  <si>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</si>
  <si>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</si>
  <si>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</si>
  <si>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</si>
  <si>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</si>
  <si>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</si>
  <si>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</si>
  <si>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</si>
  <si>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</si>
  <si>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</si>
  <si>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</si>
  <si>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</si>
  <si>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</si>
  <si>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</si>
  <si>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</si>
  <si>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</si>
  <si>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</si>
  <si>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</si>
  <si>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</si>
  <si>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</si>
  <si>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</si>
  <si>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</si>
  <si>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</si>
  <si>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</si>
  <si>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</si>
  <si>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</si>
  <si>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</si>
  <si>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</si>
  <si>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</si>
  <si>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</si>
  <si>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</si>
  <si>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</si>
  <si>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</si>
  <si>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</si>
  <si>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</si>
  <si>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</si>
  <si>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</si>
  <si>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</si>
  <si>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</si>
  <si>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</si>
  <si>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</si>
  <si>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</si>
  <si>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</si>
  <si>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</si>
  <si>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</si>
  <si>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</si>
  <si>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</si>
  <si>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</si>
  <si>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</si>
  <si>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</si>
  <si>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</si>
  <si>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</si>
  <si>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</si>
  <si>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</si>
  <si>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</si>
  <si>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</si>
  <si>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</si>
  <si>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</si>
  <si>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</si>
  <si>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</si>
  <si>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</si>
  <si>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</si>
  <si>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</si>
  <si>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</si>
  <si>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</si>
  <si>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</si>
  <si>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</si>
  <si>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</si>
  <si>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</si>
  <si>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</si>
  <si>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</si>
  <si>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</si>
  <si>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</si>
  <si>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</si>
  <si>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</si>
  <si>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</si>
  <si>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</si>
  <si>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</si>
  <si>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</si>
  <si>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</si>
  <si>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</si>
  <si>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</si>
  <si>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</si>
  <si>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</si>
  <si>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</si>
  <si>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</si>
  <si>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</si>
  <si>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</si>
  <si>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</si>
  <si>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</si>
  <si>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</si>
  <si>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</si>
  <si>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</si>
  <si>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</si>
  <si>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</si>
  <si>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</si>
  <si>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</si>
  <si>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</si>
  <si>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</si>
  <si>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</si>
  <si>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</si>
  <si>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</si>
  <si>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</si>
  <si>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</si>
  <si>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</si>
  <si>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</si>
  <si>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</si>
  <si>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</si>
  <si>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</si>
  <si>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</si>
  <si>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</si>
  <si>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</si>
  <si>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</si>
  <si>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</si>
  <si>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</si>
  <si>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</si>
  <si>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</si>
  <si>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</si>
  <si>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</si>
  <si>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</si>
  <si>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</si>
  <si>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</si>
  <si>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</si>
  <si>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</si>
  <si>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</si>
  <si>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</si>
  <si>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</si>
  <si>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</si>
  <si>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</si>
  <si>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</si>
  <si>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</si>
  <si>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</si>
  <si>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</si>
  <si>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</si>
  <si>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</si>
  <si>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</si>
  <si>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</si>
  <si>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</si>
  <si>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</si>
  <si>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</si>
  <si>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</si>
  <si>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</si>
  <si>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</si>
  <si>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</si>
  <si>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</si>
  <si>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</si>
  <si>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</si>
  <si>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</si>
  <si>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</si>
  <si>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</si>
  <si>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</si>
  <si>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</si>
  <si>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</si>
  <si>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</si>
  <si>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</si>
  <si>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</si>
  <si>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</si>
  <si>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</si>
  <si>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</si>
  <si>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</si>
  <si>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</si>
  <si>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</si>
  <si>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</si>
  <si>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</si>
  <si>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</si>
  <si>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</si>
  <si>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</si>
  <si>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</si>
  <si>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</si>
  <si>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</si>
  <si>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</si>
  <si>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</si>
  <si>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</si>
  <si>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</si>
  <si>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</si>
  <si>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</si>
  <si>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</si>
  <si>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</si>
  <si>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</si>
  <si>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</si>
  <si>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</si>
  <si>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</si>
  <si>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</si>
  <si>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</si>
  <si>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</si>
  <si>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</si>
  <si>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</si>
  <si>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</si>
  <si>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</si>
  <si>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</si>
  <si>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</si>
  <si>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</si>
  <si>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</si>
  <si>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</si>
  <si>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</si>
  <si>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</si>
  <si>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</si>
  <si>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</si>
  <si>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</si>
  <si>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</si>
  <si>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</si>
  <si>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</si>
  <si>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</si>
  <si>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</si>
  <si>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</si>
  <si>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</si>
  <si>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</si>
  <si>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</si>
  <si>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</si>
  <si>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</si>
  <si>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</si>
  <si>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</si>
  <si>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</si>
  <si>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</si>
  <si>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</si>
  <si>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</si>
  <si>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</si>
  <si>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</si>
  <si>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</si>
  <si>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</si>
  <si>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</si>
  <si>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</si>
  <si>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</si>
  <si>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</si>
  <si>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</si>
  <si>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</si>
  <si>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</si>
  <si>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</si>
  <si>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</si>
  <si>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</si>
  <si>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</si>
  <si>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</si>
  <si>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</si>
  <si>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</si>
  <si>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</si>
  <si>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</si>
  <si>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</si>
  <si>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</si>
  <si>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</si>
  <si>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</si>
  <si>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</si>
  <si>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</si>
  <si>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</si>
  <si>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</si>
  <si>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</si>
  <si>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</si>
  <si>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</si>
  <si>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</si>
  <si>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</si>
  <si>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</si>
  <si>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</si>
  <si>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</si>
  <si>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</si>
  <si>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</si>
  <si>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</si>
  <si>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</si>
  <si>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</si>
  <si>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</si>
  <si>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</si>
  <si>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</si>
  <si>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</si>
  <si>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</si>
  <si>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</si>
  <si>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</si>
  <si>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</si>
  <si>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</si>
  <si>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</si>
  <si>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</si>
  <si>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</si>
  <si>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</si>
  <si>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</si>
  <si>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</si>
  <si>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</si>
  <si>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</si>
  <si>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</si>
  <si>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</si>
  <si>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</si>
  <si>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</si>
  <si>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</si>
  <si>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</si>
  <si>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</si>
  <si>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</si>
  <si>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</si>
  <si>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</si>
  <si>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</si>
  <si>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</si>
  <si>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</si>
  <si>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</si>
  <si>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</si>
  <si>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</si>
  <si>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</si>
  <si>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</si>
  <si>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</si>
  <si>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</si>
  <si>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</si>
  <si>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</si>
  <si>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</si>
  <si>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</si>
  <si>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</si>
  <si>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</si>
  <si>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</si>
  <si>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</si>
  <si>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</si>
  <si>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</si>
  <si>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</si>
  <si>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</si>
  <si>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</si>
  <si>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</si>
  <si>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</si>
  <si>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</si>
  <si>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</si>
  <si>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</si>
  <si>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</si>
  <si>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</si>
  <si>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</si>
  <si>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</si>
  <si>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</si>
  <si>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</si>
  <si>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</si>
  <si>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</si>
  <si>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</si>
  <si>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</si>
  <si>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</si>
  <si>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</si>
  <si>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</si>
  <si>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</si>
  <si>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</si>
  <si>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</si>
  <si>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</si>
  <si>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</si>
  <si>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</si>
  <si>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</si>
  <si>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</si>
  <si>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</si>
  <si>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</si>
  <si>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</si>
  <si>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</si>
  <si>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</si>
  <si>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</si>
  <si>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</si>
  <si>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</si>
  <si>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</si>
  <si>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</si>
  <si>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</si>
  <si>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</si>
  <si>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</si>
  <si>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</si>
  <si>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</si>
  <si>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</si>
  <si>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</si>
  <si>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</si>
  <si>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</si>
  <si>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</si>
  <si>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</si>
  <si>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</si>
  <si>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</si>
  <si>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</si>
  <si>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</si>
  <si>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</si>
  <si>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</si>
  <si>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</si>
  <si>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</si>
  <si>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</si>
  <si>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</si>
  <si>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</si>
  <si>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</si>
  <si>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</si>
  <si>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</si>
  <si>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</si>
  <si>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</si>
  <si>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</si>
  <si>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</si>
  <si>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</si>
  <si>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</si>
  <si>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</si>
  <si>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</si>
  <si>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</si>
  <si>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</si>
  <si>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</si>
  <si>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</si>
  <si>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</si>
  <si>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</si>
  <si>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</si>
  <si>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</si>
  <si>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</si>
  <si>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</si>
  <si>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</si>
  <si>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</si>
  <si>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</si>
  <si>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</si>
  <si>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</si>
  <si>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</si>
  <si>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</si>
  <si>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</si>
  <si>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</si>
  <si>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</si>
  <si>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</si>
  <si>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</si>
  <si>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</si>
  <si>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</si>
  <si>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</si>
  <si>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</si>
  <si>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</si>
  <si>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</si>
  <si>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</si>
  <si>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</si>
  <si>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</si>
  <si>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</si>
  <si>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</si>
  <si>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</si>
  <si>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</si>
  <si>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</si>
  <si>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</si>
  <si>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</si>
  <si>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</si>
  <si>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</si>
  <si>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</si>
  <si>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</si>
  <si>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</si>
  <si>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</si>
  <si>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</si>
  <si>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</si>
  <si>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</si>
  <si>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</si>
  <si>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</si>
  <si>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</si>
  <si>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</si>
  <si>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</si>
  <si>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</si>
  <si>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</si>
  <si>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</si>
  <si>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</si>
  <si>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</si>
  <si>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</si>
  <si>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</si>
  <si>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</si>
  <si>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</si>
  <si>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</si>
  <si>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</si>
  <si>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</si>
  <si>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</si>
  <si>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</si>
  <si>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</si>
  <si>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</si>
  <si>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</si>
  <si>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</si>
  <si>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</si>
  <si>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</si>
  <si>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</si>
  <si>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</si>
  <si>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</si>
  <si>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</si>
  <si>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</si>
  <si>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</si>
  <si>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</si>
  <si>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</si>
  <si>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</si>
  <si>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</si>
  <si>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</si>
  <si>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</si>
  <si>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</si>
  <si>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</si>
  <si>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</si>
  <si>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</si>
  <si>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</si>
  <si>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</si>
  <si>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</si>
  <si>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</si>
  <si>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</si>
  <si>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</si>
  <si>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</si>
  <si>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</si>
  <si>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</si>
  <si>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</si>
  <si>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</si>
  <si>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</si>
  <si>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</si>
  <si>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</si>
  <si>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</si>
  <si>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</si>
  <si>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</si>
  <si>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</si>
  <si>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</si>
  <si>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</si>
  <si>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</si>
  <si>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</si>
  <si>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</si>
  <si>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</si>
  <si>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</si>
  <si>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</si>
  <si>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</si>
  <si>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</si>
  <si>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</si>
  <si>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</si>
  <si>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</si>
  <si>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</si>
  <si>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</si>
  <si>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</si>
  <si>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</si>
  <si>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</si>
  <si>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</si>
  <si>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</si>
  <si>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</si>
  <si>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</si>
  <si>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</si>
  <si>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</si>
  <si>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</si>
  <si>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</si>
  <si>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</si>
  <si>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</si>
  <si>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</si>
  <si>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</si>
  <si>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</si>
  <si>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</si>
  <si>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</si>
  <si>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</si>
  <si>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</si>
  <si>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</si>
  <si>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</si>
  <si>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</si>
  <si>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</si>
  <si>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</si>
  <si>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</si>
  <si>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</si>
  <si>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</si>
  <si>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</si>
  <si>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</si>
  <si>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</si>
  <si>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</si>
  <si>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</si>
  <si>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</si>
  <si>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</si>
  <si>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</si>
  <si>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</si>
  <si>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</si>
  <si>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</si>
  <si>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</si>
  <si>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</si>
  <si>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</si>
  <si>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</si>
  <si>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</si>
  <si>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</si>
  <si>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</si>
  <si>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</si>
  <si>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</si>
  <si>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</si>
  <si>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</si>
  <si>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</si>
  <si>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</si>
  <si>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</si>
  <si>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</si>
  <si>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</si>
  <si>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</si>
  <si>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</si>
  <si>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</si>
  <si>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</si>
  <si>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</si>
  <si>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</si>
  <si>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</si>
  <si>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</si>
  <si>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</si>
  <si>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</si>
  <si>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</si>
  <si>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</si>
  <si>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</si>
  <si>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</si>
  <si>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</si>
  <si>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</si>
  <si>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</si>
  <si>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</si>
  <si>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</si>
  <si>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</si>
  <si>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</si>
  <si>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</si>
  <si>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</si>
  <si>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</si>
  <si>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</si>
  <si>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</si>
  <si>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</si>
  <si>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</si>
  <si>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</si>
  <si>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</si>
  <si>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</si>
  <si>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</si>
  <si>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</si>
  <si>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</si>
  <si>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</si>
  <si>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</si>
  <si>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</si>
  <si>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</si>
  <si>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</si>
  <si>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</si>
  <si>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</si>
  <si>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</si>
  <si>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</si>
  <si>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</si>
  <si>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</si>
  <si>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</si>
  <si>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</si>
  <si>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</si>
  <si>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</si>
  <si>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</si>
  <si>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</si>
  <si>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</si>
  <si>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</si>
  <si>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</si>
  <si>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</si>
  <si>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</si>
  <si>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</si>
  <si>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</si>
  <si>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</si>
  <si>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</si>
  <si>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</si>
  <si>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</si>
  <si>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</si>
  <si>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</si>
  <si>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</si>
  <si>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</si>
  <si>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</si>
  <si>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</si>
  <si>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</si>
  <si>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</si>
  <si>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</si>
  <si>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</si>
  <si>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</si>
  <si>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</si>
  <si>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</si>
  <si>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</si>
  <si>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</si>
  <si>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</si>
  <si>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</si>
  <si>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</si>
  <si>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</si>
  <si>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</si>
  <si>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</si>
  <si>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</si>
  <si>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</si>
  <si>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</si>
  <si>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</si>
  <si>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</si>
  <si>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</si>
  <si>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</si>
  <si>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</si>
  <si>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</si>
  <si>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</si>
  <si>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</si>
  <si>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</si>
  <si>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</si>
  <si>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</si>
  <si>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</si>
  <si>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</si>
  <si>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</si>
  <si>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</si>
  <si>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</si>
  <si>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</si>
  <si>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</si>
  <si>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</si>
  <si>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</si>
  <si>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</si>
  <si>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</si>
  <si>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</si>
  <si>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</si>
  <si>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</si>
  <si>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</si>
  <si>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</si>
  <si>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</si>
  <si>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</si>
  <si>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</si>
  <si>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</si>
  <si>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</si>
  <si>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</si>
  <si>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</si>
  <si>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</si>
  <si>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</si>
  <si>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</si>
  <si>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</si>
  <si>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</si>
  <si>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</si>
  <si>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</si>
  <si>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</si>
  <si>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</si>
  <si>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</si>
  <si>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</si>
  <si>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</si>
  <si>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</si>
  <si>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</si>
  <si>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</si>
  <si>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</si>
  <si>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</si>
  <si>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</si>
  <si>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</si>
  <si>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</si>
  <si>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</si>
  <si>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</si>
  <si>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</si>
  <si>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</si>
  <si>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</si>
  <si>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</si>
  <si>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</si>
  <si>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</si>
  <si>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</si>
  <si>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</si>
  <si>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</si>
  <si>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</si>
  <si>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</si>
  <si>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</si>
  <si>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</si>
  <si>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</si>
  <si>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</si>
  <si>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</si>
  <si>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</si>
  <si>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</si>
  <si>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</si>
  <si>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</si>
  <si>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</si>
  <si>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</si>
  <si>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</si>
  <si>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</si>
  <si>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</si>
  <si>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</si>
  <si>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</si>
  <si>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</si>
  <si>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</si>
  <si>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</si>
  <si>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</si>
  <si>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</si>
  <si>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</si>
  <si>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</si>
  <si>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</si>
  <si>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</si>
  <si>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</si>
  <si>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</si>
  <si>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</si>
  <si>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</si>
  <si>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</si>
  <si>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</si>
  <si>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</si>
  <si>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</si>
  <si>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</si>
  <si>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</si>
  <si>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</si>
  <si>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</si>
  <si>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</si>
  <si>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</si>
  <si>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</si>
  <si>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</si>
  <si>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</si>
  <si>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</si>
  <si>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</si>
  <si>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</si>
  <si>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</si>
  <si>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</si>
  <si>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</si>
  <si>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</si>
  <si>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</si>
  <si>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</si>
  <si>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</si>
  <si>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</si>
  <si>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</si>
  <si>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</si>
  <si>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</si>
  <si>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</si>
  <si>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</si>
  <si>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</si>
  <si>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</si>
  <si>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</si>
  <si>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</si>
  <si>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</si>
  <si>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</si>
  <si>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</si>
  <si>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</si>
  <si>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</si>
  <si>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</si>
  <si>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</si>
  <si>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</si>
  <si>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</si>
  <si>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</si>
  <si>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</si>
  <si>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</si>
  <si>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</si>
  <si>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</si>
  <si>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</si>
  <si>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</si>
  <si>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</si>
  <si>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</si>
  <si>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</si>
  <si>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</si>
  <si>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</si>
  <si>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</si>
  <si>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</si>
  <si>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</si>
  <si>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</si>
  <si>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</si>
  <si>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</si>
  <si>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</si>
  <si>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</si>
  <si>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</si>
  <si>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</si>
  <si>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</si>
  <si>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</si>
  <si>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</si>
  <si>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</si>
  <si>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</si>
  <si>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</si>
  <si>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</si>
  <si>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</si>
  <si>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</si>
  <si>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</si>
  <si>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</si>
  <si>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</si>
  <si>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</si>
  <si>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</si>
  <si>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</si>
  <si>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</si>
  <si>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</si>
  <si>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</si>
  <si>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</si>
  <si>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</si>
  <si>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</si>
  <si>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</si>
  <si>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</si>
  <si>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</si>
  <si>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</si>
  <si>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</si>
  <si>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</si>
  <si>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</si>
  <si>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</si>
  <si>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</si>
  <si>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</si>
  <si>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</si>
  <si>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</si>
  <si>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</si>
  <si>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</si>
  <si>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</si>
  <si>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</si>
  <si>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</si>
  <si>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</si>
  <si>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</si>
  <si>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</si>
  <si>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</si>
  <si>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</si>
  <si>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</si>
  <si>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</si>
  <si>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</si>
  <si>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</si>
  <si>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</si>
  <si>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</si>
  <si>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</si>
  <si>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</si>
  <si>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</si>
  <si>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</si>
  <si>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</si>
  <si>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</si>
  <si>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</si>
  <si>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</si>
  <si>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</si>
  <si>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</si>
  <si>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</si>
  <si>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</si>
  <si>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</si>
  <si>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</si>
  <si>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</si>
  <si>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</si>
  <si>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</si>
  <si>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</si>
  <si>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</si>
  <si>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</si>
  <si>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</si>
  <si>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</si>
  <si>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</si>
  <si>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</si>
  <si>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</si>
  <si>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</si>
  <si>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</si>
  <si>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</si>
  <si>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</si>
  <si>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</si>
  <si>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</si>
  <si>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</si>
  <si>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</si>
  <si>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</si>
  <si>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</si>
  <si>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</si>
  <si>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</si>
  <si>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</si>
  <si>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</si>
  <si>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</si>
  <si>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</si>
  <si>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</si>
  <si>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</si>
  <si>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</si>
  <si>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</si>
  <si>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</si>
  <si>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</si>
  <si>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</si>
  <si>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</si>
  <si>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</si>
  <si>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</si>
  <si>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</si>
  <si>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</si>
  <si>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</si>
  <si>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</si>
  <si>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</si>
  <si>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</si>
  <si>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</si>
  <si>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</si>
  <si>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</si>
  <si>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</si>
  <si>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</si>
  <si>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</si>
  <si>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</si>
  <si>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</si>
  <si>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</si>
  <si>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</si>
  <si>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</si>
  <si>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</si>
  <si>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</si>
  <si>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</si>
  <si>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</si>
  <si>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</si>
  <si>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</si>
  <si>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</si>
  <si>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</si>
  <si>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</si>
  <si>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</si>
  <si>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</si>
  <si>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</si>
  <si>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</si>
  <si>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</si>
  <si>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</si>
  <si>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</si>
  <si>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</si>
  <si>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</si>
  <si>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</si>
  <si>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</si>
  <si>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</si>
  <si>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</si>
  <si>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</si>
  <si>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</si>
  <si>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</si>
  <si>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</si>
  <si>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</si>
  <si>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</si>
  <si>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</si>
  <si>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</si>
  <si>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</si>
  <si>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</si>
  <si>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</si>
  <si>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</si>
  <si>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</si>
  <si>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</si>
  <si>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</si>
  <si>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</si>
  <si>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</si>
  <si>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</si>
  <si>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</si>
  <si>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</si>
  <si>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</si>
  <si>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</si>
  <si>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</si>
  <si>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</si>
  <si>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</si>
  <si>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</si>
  <si>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</si>
  <si>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</si>
  <si>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</si>
  <si>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</si>
  <si>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</si>
  <si>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</si>
  <si>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</si>
  <si>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</si>
  <si>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</si>
  <si>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</si>
  <si>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</si>
  <si>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</si>
  <si>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</si>
  <si>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</si>
  <si>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</si>
  <si>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</si>
  <si>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</si>
  <si>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</si>
  <si>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</si>
  <si>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</si>
  <si>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</si>
  <si>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</si>
  <si>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</si>
  <si>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</si>
  <si>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</si>
  <si>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</si>
  <si>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</si>
  <si>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</si>
  <si>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</si>
  <si>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</si>
  <si>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</si>
  <si>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</si>
  <si>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</si>
  <si>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</si>
  <si>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</si>
  <si>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</si>
  <si>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</si>
  <si>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</si>
  <si>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</si>
  <si>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</si>
  <si>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</si>
  <si>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</si>
  <si>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</si>
  <si>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</si>
  <si>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</si>
  <si>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</si>
  <si>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</si>
  <si>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</si>
  <si>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</si>
  <si>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</si>
  <si>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</si>
  <si>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</si>
  <si>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</si>
  <si>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</si>
  <si>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</si>
  <si>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</si>
  <si>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</si>
  <si>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</si>
  <si>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</si>
  <si>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</si>
  <si>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</si>
  <si>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</si>
  <si>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</si>
  <si>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</si>
  <si>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</si>
  <si>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</si>
  <si>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</si>
  <si>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</si>
  <si>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</si>
  <si>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</si>
  <si>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</si>
  <si>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</si>
  <si>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</si>
  <si>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</si>
  <si>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</si>
  <si>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</si>
  <si>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</si>
  <si>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</si>
  <si>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</si>
  <si>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</si>
  <si>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</si>
  <si>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</si>
  <si>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</si>
  <si>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</si>
  <si>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</si>
  <si>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</si>
  <si>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</si>
  <si>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</si>
  <si>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</si>
  <si>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</si>
  <si>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</si>
  <si>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</si>
  <si>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</si>
  <si>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</si>
  <si>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</si>
  <si>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</si>
  <si>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</si>
  <si>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</si>
  <si>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</si>
  <si>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</si>
  <si>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</si>
  <si>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</si>
  <si>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</si>
  <si>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</si>
  <si>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</si>
  <si>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</si>
  <si>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</si>
  <si>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</si>
  <si>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</si>
  <si>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</si>
  <si>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</si>
  <si>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</si>
  <si>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</si>
  <si>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</si>
  <si>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</si>
  <si>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</si>
  <si>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</si>
  <si>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</si>
  <si>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</si>
  <si>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</si>
  <si>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</si>
  <si>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</si>
  <si>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</si>
  <si>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</si>
  <si>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</si>
  <si>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</si>
  <si>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</si>
  <si>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</si>
  <si>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</si>
  <si>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</si>
  <si>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</si>
  <si>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</si>
  <si>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</si>
  <si>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</si>
  <si>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</si>
  <si>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</si>
  <si>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</si>
  <si>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</si>
  <si>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</si>
  <si>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</si>
  <si>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</si>
  <si>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</si>
  <si>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</si>
  <si>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</si>
  <si>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</si>
  <si>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</si>
  <si>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</si>
  <si>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</si>
  <si>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</si>
  <si>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</si>
  <si>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</si>
  <si>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</si>
  <si>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</si>
  <si>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</si>
  <si>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</si>
  <si>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</si>
  <si>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</si>
  <si>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</si>
  <si>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</si>
  <si>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</si>
  <si>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</si>
  <si>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</si>
  <si>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</si>
  <si>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</si>
  <si>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</si>
  <si>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</si>
  <si>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</si>
  <si>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</si>
  <si>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</si>
  <si>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</si>
  <si>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</si>
  <si>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</si>
  <si>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</si>
  <si>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</si>
  <si>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</si>
  <si>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</si>
  <si>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</si>
  <si>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</si>
  <si>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</si>
  <si>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</si>
  <si>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</si>
  <si>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</si>
  <si>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</si>
  <si>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</si>
  <si>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</si>
  <si>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</si>
  <si>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</si>
  <si>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</si>
  <si>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</si>
  <si>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</si>
  <si>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</si>
  <si>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</si>
  <si>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</si>
  <si>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</si>
  <si>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</si>
  <si>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</si>
  <si>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</si>
  <si>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</si>
  <si>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</si>
  <si>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</si>
  <si>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</si>
  <si>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</si>
  <si>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</si>
  <si>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</si>
  <si>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</si>
  <si>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</si>
  <si>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</si>
  <si>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</si>
  <si>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</si>
  <si>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</si>
  <si>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</si>
  <si>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</si>
  <si>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</si>
  <si>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</si>
  <si>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</si>
  <si>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</si>
  <si>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</si>
  <si>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</si>
  <si>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</si>
  <si>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</si>
  <si>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</si>
  <si>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</si>
  <si>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</si>
  <si>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</si>
  <si>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</si>
  <si>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</si>
  <si>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</si>
  <si>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</si>
  <si>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</si>
  <si>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</si>
  <si>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</si>
  <si>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</si>
  <si>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</si>
  <si>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</si>
  <si>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</si>
  <si>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</si>
  <si>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</si>
  <si>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</si>
  <si>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</si>
  <si>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</si>
  <si>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</si>
  <si>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</si>
  <si>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</si>
  <si>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</si>
  <si>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</si>
  <si>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</si>
  <si>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</si>
  <si>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</si>
  <si>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</si>
  <si>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</si>
  <si>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</si>
  <si>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</si>
  <si>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</si>
  <si>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</si>
  <si>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</si>
  <si>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</si>
  <si>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</si>
  <si>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</si>
  <si>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</si>
  <si>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</si>
  <si>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</si>
  <si>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</si>
  <si>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</si>
  <si>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</si>
  <si>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</si>
  <si>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</si>
  <si>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</si>
  <si>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</si>
  <si>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</si>
  <si>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</si>
  <si>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</si>
  <si>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</si>
  <si>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</si>
  <si>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</si>
  <si>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</si>
  <si>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</si>
  <si>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</si>
  <si>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</si>
  <si>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</si>
  <si>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</si>
  <si>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</si>
  <si>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</si>
  <si>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</si>
  <si>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</si>
  <si>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</si>
  <si>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</si>
  <si>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</si>
  <si>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</si>
  <si>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</si>
  <si>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</si>
  <si>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</si>
  <si>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</si>
  <si>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</si>
  <si>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</si>
  <si>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</si>
  <si>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</si>
  <si>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</si>
  <si>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</si>
  <si>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</si>
  <si>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</si>
  <si>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</si>
  <si>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</si>
  <si>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</si>
  <si>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</si>
  <si>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</si>
  <si>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</si>
  <si>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</si>
  <si>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</si>
  <si>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</si>
  <si>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</si>
  <si>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</si>
  <si>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</si>
  <si>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</si>
  <si>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</si>
  <si>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</si>
  <si>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</si>
  <si>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</si>
  <si>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</si>
  <si>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</si>
  <si>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</si>
  <si>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</si>
  <si>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</si>
  <si>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</si>
  <si>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</si>
  <si>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</si>
  <si>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</si>
  <si>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</si>
  <si>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</si>
  <si>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</si>
  <si>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</si>
  <si>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</si>
  <si>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</si>
  <si>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</si>
  <si>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</si>
  <si>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</si>
  <si>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</si>
  <si>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</si>
  <si>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</si>
  <si>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</si>
  <si>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</si>
  <si>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</si>
  <si>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</si>
  <si>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</si>
  <si>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</si>
  <si>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</si>
  <si>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</si>
  <si>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</si>
  <si>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</si>
  <si>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</si>
  <si>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</si>
  <si>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</si>
  <si>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</si>
  <si>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</si>
  <si>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</si>
  <si>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</si>
  <si>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</si>
  <si>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</si>
  <si>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</si>
  <si>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</si>
  <si>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</si>
  <si>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</si>
  <si>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</si>
  <si>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</si>
  <si>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</si>
  <si>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</si>
  <si>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</si>
  <si>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</si>
  <si>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</si>
  <si>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</si>
  <si>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</si>
  <si>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</si>
  <si>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</si>
  <si>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</si>
  <si>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</si>
  <si>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</si>
  <si>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</si>
  <si>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</si>
  <si>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</si>
  <si>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</si>
  <si>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</si>
  <si>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</si>
  <si>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</si>
  <si>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</si>
  <si>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</si>
  <si>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</si>
  <si>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</si>
  <si>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</si>
  <si>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</si>
  <si>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</si>
  <si>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</si>
  <si>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</si>
  <si>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</si>
  <si>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</si>
  <si>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</si>
  <si>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</si>
  <si>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</si>
  <si>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</si>
  <si>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</si>
  <si>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</si>
  <si>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</si>
  <si>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</si>
  <si>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</si>
  <si>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</si>
  <si>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</si>
  <si>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</si>
  <si>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</si>
  <si>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</si>
  <si>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</si>
  <si>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</si>
  <si>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</si>
  <si>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</si>
  <si>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</si>
  <si>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</si>
  <si>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</si>
  <si>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</si>
  <si>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</si>
  <si>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</si>
  <si>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</si>
  <si>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</si>
  <si>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</si>
  <si>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</si>
  <si>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</si>
  <si>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</si>
  <si>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</si>
  <si>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</si>
  <si>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</si>
  <si>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</si>
  <si>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</si>
  <si>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</si>
  <si>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</si>
  <si>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</si>
  <si>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</si>
  <si>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</si>
  <si>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</si>
  <si>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</si>
  <si>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</si>
  <si>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</si>
  <si>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</si>
  <si>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</si>
  <si>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</si>
  <si>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</si>
  <si>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</si>
  <si>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</si>
  <si>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</si>
  <si>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</si>
  <si>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</si>
  <si>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</si>
  <si>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</si>
  <si>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</si>
  <si>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</si>
  <si>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</si>
  <si>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</si>
  <si>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</si>
  <si>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</si>
  <si>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</si>
  <si>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</si>
  <si>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</si>
  <si>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</si>
  <si>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</si>
  <si>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</si>
  <si>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</si>
  <si>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</si>
  <si>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</si>
  <si>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</si>
  <si>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</si>
  <si>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</si>
  <si>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</si>
  <si>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</si>
  <si>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</si>
  <si>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</si>
  <si>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</si>
  <si>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</si>
  <si>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</si>
  <si>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</si>
  <si>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</si>
  <si>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</si>
  <si>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</si>
  <si>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</si>
  <si>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</si>
  <si>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</si>
  <si>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</si>
  <si>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</si>
  <si>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</si>
  <si>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</si>
  <si>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</si>
  <si>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</si>
  <si>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</si>
  <si>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</si>
  <si>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</si>
  <si>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</si>
  <si>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</si>
  <si>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</si>
  <si>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</si>
  <si>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</si>
  <si>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</si>
  <si>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</si>
  <si>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</si>
  <si>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</si>
  <si>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</si>
  <si>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</si>
  <si>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</si>
  <si>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</si>
  <si>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</si>
  <si>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</si>
  <si>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</si>
  <si>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</si>
  <si>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</si>
  <si>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</si>
  <si>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</si>
  <si>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</si>
  <si>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</si>
  <si>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</si>
  <si>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</si>
  <si>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</si>
  <si>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</si>
  <si>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</si>
  <si>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</si>
  <si>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</si>
  <si>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</si>
  <si>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</si>
  <si>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</si>
  <si>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</si>
  <si>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</si>
  <si>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</si>
  <si>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</si>
  <si>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</si>
  <si>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</si>
  <si>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</si>
  <si>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</si>
  <si>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</si>
  <si>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</si>
  <si>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</si>
  <si>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</si>
  <si>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</si>
  <si>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</si>
  <si>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</si>
  <si>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</si>
  <si>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</si>
  <si>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</si>
  <si>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</si>
  <si>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</si>
  <si>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</si>
  <si>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</si>
  <si>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</si>
  <si>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</si>
  <si>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</si>
  <si>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</si>
  <si>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</si>
  <si>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</si>
  <si>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</si>
  <si>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</si>
  <si>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</si>
  <si>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</si>
  <si>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</si>
  <si>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</si>
  <si>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</si>
  <si>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</si>
  <si>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</si>
  <si>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</si>
  <si>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</si>
  <si>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</si>
  <si>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</si>
  <si>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</si>
  <si>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</si>
  <si>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</si>
  <si>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</si>
  <si>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</si>
  <si>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</si>
  <si>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</si>
  <si>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</si>
  <si>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</si>
  <si>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</si>
  <si>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</si>
  <si>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</si>
  <si>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</si>
  <si>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</si>
  <si>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</si>
  <si>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</si>
  <si>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</si>
  <si>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</si>
  <si>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</si>
  <si>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</si>
  <si>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</si>
  <si>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</si>
  <si>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</si>
  <si>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</si>
  <si>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</si>
  <si>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</si>
  <si>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</si>
  <si>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</si>
  <si>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</si>
  <si>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</si>
  <si>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</si>
  <si>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</si>
  <si>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</si>
  <si>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</si>
  <si>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</si>
  <si>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</si>
  <si>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</si>
  <si>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</si>
  <si>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</si>
  <si>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</si>
  <si>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</si>
  <si>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</si>
  <si>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</si>
  <si>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</si>
  <si>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</si>
  <si>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</si>
  <si>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</si>
  <si>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</si>
  <si>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</si>
  <si>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</si>
  <si>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</si>
  <si>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</si>
  <si>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</si>
  <si>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</si>
  <si>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</si>
  <si>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</si>
  <si>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</si>
  <si>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</si>
  <si>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</si>
  <si>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</si>
  <si>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</si>
  <si>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</si>
  <si>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</si>
  <si>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</si>
  <si>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</si>
  <si>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</si>
  <si>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</si>
  <si>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</si>
  <si>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</si>
  <si>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</si>
  <si>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</si>
  <si>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</si>
  <si>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</si>
  <si>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</si>
  <si>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</si>
  <si>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</si>
  <si>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</si>
  <si>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</si>
  <si>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</si>
  <si>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</si>
  <si>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</si>
  <si>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</si>
  <si>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</si>
  <si>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</si>
  <si>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</si>
  <si>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</si>
  <si>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</si>
  <si>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</si>
  <si>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</si>
  <si>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</si>
  <si>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</si>
  <si>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</si>
  <si>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</si>
  <si>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</si>
  <si>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</si>
  <si>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</si>
  <si>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</si>
  <si>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</si>
  <si>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</si>
  <si>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</si>
  <si>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</si>
  <si>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</si>
  <si>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</si>
  <si>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</si>
  <si>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</si>
  <si>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</si>
  <si>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</si>
  <si>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</si>
  <si>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</si>
  <si>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</si>
  <si>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</si>
  <si>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</si>
  <si>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</si>
  <si>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</si>
  <si>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</si>
  <si>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</si>
  <si>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</si>
  <si>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</si>
  <si>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</si>
  <si>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</si>
  <si>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</si>
  <si>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</si>
  <si>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</si>
  <si>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</si>
  <si>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</si>
  <si>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</si>
  <si>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</si>
  <si>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</si>
  <si>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</si>
  <si>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</si>
  <si>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</si>
  <si>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</si>
  <si>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</si>
  <si>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</si>
  <si>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</si>
  <si>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</si>
  <si>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</si>
  <si>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</si>
  <si>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</si>
  <si>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</si>
  <si>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</si>
  <si>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</si>
  <si>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</si>
  <si>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</si>
  <si>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</si>
  <si>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</si>
  <si>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</si>
  <si>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</si>
  <si>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</si>
  <si>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</si>
  <si>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</si>
  <si>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</si>
  <si>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</si>
  <si>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</si>
  <si>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</si>
  <si>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</si>
  <si>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</si>
  <si>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</si>
  <si>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</si>
  <si>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</si>
  <si>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</si>
  <si>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</si>
  <si>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</si>
  <si>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</si>
  <si>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</si>
  <si>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</si>
  <si>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</si>
  <si>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</si>
  <si>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</si>
  <si>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</si>
  <si>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</si>
  <si>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</si>
  <si>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</si>
  <si>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</si>
  <si>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</si>
  <si>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</si>
  <si>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</si>
  <si>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</si>
  <si>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</si>
  <si>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</si>
  <si>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</si>
  <si>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</si>
  <si>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</si>
  <si>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</si>
  <si>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</si>
  <si>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</si>
  <si>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</si>
  <si>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</si>
  <si>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</si>
  <si>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</si>
  <si>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</si>
  <si>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</si>
  <si>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</si>
  <si>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</si>
  <si>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</si>
  <si>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</si>
  <si>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</si>
  <si>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</si>
  <si>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</si>
  <si>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</si>
  <si>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</si>
  <si>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</si>
  <si>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</si>
  <si>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</si>
  <si>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</si>
  <si>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</si>
  <si>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</si>
  <si>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</si>
  <si>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</si>
  <si>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</si>
  <si>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</si>
  <si>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</si>
  <si>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</si>
  <si>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</si>
  <si>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</si>
  <si>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</si>
  <si>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</si>
  <si>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</si>
  <si>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</si>
  <si>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</si>
  <si>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</si>
  <si>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</si>
  <si>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</si>
  <si>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</si>
  <si>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</si>
  <si>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</si>
  <si>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</si>
  <si>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</si>
  <si>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</si>
  <si>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</si>
  <si>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</si>
  <si>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</si>
  <si>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</si>
  <si>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</si>
  <si>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</si>
  <si>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</si>
  <si>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</si>
  <si>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</si>
  <si>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</si>
  <si>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</si>
  <si>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</si>
  <si>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</si>
  <si>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</si>
  <si>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</si>
  <si>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</si>
  <si>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</si>
  <si>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</si>
  <si>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</si>
  <si>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</si>
  <si>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</si>
  <si>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</si>
  <si>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</si>
  <si>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</si>
  <si>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</si>
  <si>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</si>
  <si>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</si>
  <si>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</si>
  <si>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</si>
  <si>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</si>
  <si>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</si>
  <si>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</si>
  <si>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</si>
  <si>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</si>
  <si>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</si>
  <si>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</si>
  <si>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</si>
  <si>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</si>
  <si>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</si>
  <si>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</si>
  <si>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</si>
  <si>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</si>
  <si>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</si>
  <si>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</si>
  <si>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</si>
  <si>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</si>
  <si>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</si>
  <si>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</si>
  <si>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</si>
  <si>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</si>
  <si>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</si>
  <si>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</si>
  <si>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</si>
  <si>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</si>
  <si>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</si>
  <si>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</si>
  <si>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</si>
  <si>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</si>
  <si>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</si>
  <si>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</si>
  <si>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</si>
  <si>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</si>
  <si>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</si>
  <si>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</si>
  <si>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</si>
  <si>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</si>
  <si>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</si>
  <si>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</si>
  <si>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</si>
  <si>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</si>
  <si>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</si>
  <si>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</si>
  <si>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</si>
  <si>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</si>
  <si>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</si>
  <si>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</si>
  <si>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</si>
  <si>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</si>
  <si>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</si>
  <si>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</si>
  <si>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</si>
  <si>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</si>
  <si>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</si>
  <si>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</si>
  <si>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</si>
  <si>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</si>
  <si>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</si>
  <si>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</si>
  <si>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</si>
  <si>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</si>
  <si>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</si>
  <si>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</si>
  <si>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</si>
  <si>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</si>
  <si>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</si>
  <si>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</si>
  <si>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</si>
  <si>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</si>
  <si>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</si>
  <si>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</si>
  <si>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</si>
  <si>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</si>
  <si>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</si>
  <si>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</si>
  <si>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</si>
  <si>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</si>
  <si>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</si>
  <si>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</si>
  <si>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</si>
  <si>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</si>
  <si>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</si>
  <si>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</si>
  <si>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</si>
  <si>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</si>
  <si>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</si>
  <si>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</si>
  <si>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</si>
  <si>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</si>
  <si>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</si>
  <si>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</si>
  <si>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</si>
  <si>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</si>
  <si>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</si>
  <si>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</si>
  <si>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</si>
  <si>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</si>
  <si>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</si>
  <si>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</si>
  <si>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</si>
  <si>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</si>
  <si>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</si>
  <si>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</si>
  <si>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</si>
  <si>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</si>
  <si>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</si>
  <si>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</si>
  <si>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</si>
  <si>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</si>
  <si>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</si>
  <si>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</si>
  <si>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</si>
  <si>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</si>
  <si>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</si>
  <si>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</si>
  <si>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</si>
  <si>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</si>
  <si>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</si>
  <si>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</si>
  <si>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</si>
  <si>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</si>
  <si>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</si>
  <si>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</si>
  <si>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</si>
  <si>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</si>
  <si>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</si>
  <si>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</si>
  <si>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</si>
  <si>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</si>
  <si>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</si>
  <si>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</si>
  <si>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</si>
  <si>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</si>
  <si>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</si>
  <si>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</si>
  <si>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</si>
  <si>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</si>
  <si>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</si>
  <si>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</si>
  <si>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</si>
  <si>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</si>
  <si>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</si>
  <si>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</si>
  <si>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</si>
  <si>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</si>
  <si>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</si>
  <si>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</si>
  <si>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</si>
  <si>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</si>
  <si>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</si>
  <si>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</si>
  <si>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</si>
  <si>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</si>
  <si>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</si>
  <si>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</si>
  <si>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</si>
  <si>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</si>
  <si>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</si>
  <si>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</si>
  <si>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</si>
  <si>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</si>
  <si>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</si>
  <si>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</si>
  <si>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</si>
  <si>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</si>
  <si>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</si>
  <si>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</si>
  <si>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</si>
  <si>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</si>
  <si>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</si>
  <si>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</si>
  <si>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</si>
  <si>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</si>
  <si>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</si>
  <si>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</si>
  <si>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</si>
  <si>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</si>
  <si>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</si>
  <si>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</si>
  <si>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</si>
  <si>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</si>
  <si>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</si>
  <si>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</si>
  <si>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</si>
  <si>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</si>
  <si>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</si>
  <si>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</si>
  <si>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</si>
  <si>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</si>
  <si>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</si>
  <si>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</si>
  <si>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</si>
  <si>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</si>
  <si>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</si>
  <si>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</si>
  <si>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</si>
  <si>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</si>
  <si>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</si>
  <si>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</si>
  <si>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</si>
  <si>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</si>
  <si>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</si>
  <si>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</si>
  <si>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</si>
  <si>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</si>
  <si>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</si>
  <si>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</si>
  <si>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</si>
  <si>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</si>
  <si>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</si>
  <si>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</si>
  <si>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</si>
  <si>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</si>
  <si>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</si>
  <si>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</si>
  <si>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</si>
  <si>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</si>
  <si>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</si>
  <si>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</si>
  <si>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</si>
  <si>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</si>
  <si>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</si>
  <si>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</si>
  <si>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</si>
  <si>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</si>
  <si>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</si>
  <si>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</si>
  <si>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</si>
  <si>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</si>
  <si>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</si>
  <si>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</si>
  <si>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</si>
  <si>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</si>
  <si>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</si>
  <si>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</si>
  <si>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</si>
  <si>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</si>
  <si>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</si>
  <si>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</si>
  <si>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</si>
  <si>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</si>
  <si>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</si>
  <si>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</si>
  <si>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</si>
  <si>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</si>
  <si>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</si>
  <si>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</si>
  <si>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</si>
  <si>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</si>
  <si>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</si>
  <si>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</si>
  <si>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</si>
  <si>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</si>
  <si>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</si>
  <si>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</si>
  <si>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</si>
  <si>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</si>
  <si>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</si>
  <si>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</si>
  <si>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</si>
  <si>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</si>
  <si>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</si>
  <si>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</si>
  <si>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</si>
  <si>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</si>
  <si>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</si>
  <si>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</si>
  <si>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</si>
  <si>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</si>
  <si>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</si>
  <si>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</si>
  <si>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</si>
  <si>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</si>
  <si>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</si>
  <si>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</si>
  <si>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</si>
  <si>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</si>
  <si>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</si>
  <si>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</si>
  <si>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</si>
  <si>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</si>
  <si>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</si>
  <si>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</si>
  <si>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</si>
  <si>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</si>
  <si>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</si>
  <si>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</si>
  <si>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</si>
  <si>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</si>
  <si>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</si>
  <si>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</si>
  <si>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</si>
  <si>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</si>
  <si>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</si>
  <si>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</si>
  <si>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</si>
  <si>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</si>
  <si>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</si>
  <si>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</si>
  <si>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</si>
  <si>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</si>
  <si>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</si>
  <si>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</si>
  <si>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</si>
  <si>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</si>
  <si>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</si>
  <si>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</si>
  <si>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</si>
  <si>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</si>
  <si>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</si>
  <si>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</si>
  <si>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</si>
  <si>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</si>
  <si>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</si>
  <si>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</si>
  <si>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</si>
  <si>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</si>
  <si>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</si>
  <si>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</si>
  <si>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</si>
  <si>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</si>
  <si>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</si>
  <si>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</si>
  <si>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</si>
  <si>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</si>
  <si>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</si>
  <si>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</si>
  <si>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</si>
  <si>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</si>
  <si>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</si>
  <si>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</si>
  <si>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</si>
  <si>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</si>
  <si>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</si>
  <si>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</si>
  <si>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</si>
  <si>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</si>
  <si>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</si>
  <si>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</si>
  <si>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</si>
  <si>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</si>
  <si>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</si>
  <si>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</si>
  <si>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</si>
  <si>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</si>
  <si>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</si>
  <si>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</si>
  <si>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</si>
  <si>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</si>
  <si>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</si>
  <si>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</si>
  <si>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</si>
  <si>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</si>
  <si>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</si>
  <si>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</si>
  <si>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</si>
  <si>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</si>
  <si>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</si>
  <si>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</si>
  <si>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</si>
  <si>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</si>
  <si>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</si>
  <si>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</si>
  <si>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</si>
  <si>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</si>
  <si>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</si>
  <si>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</si>
  <si>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</si>
  <si>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</si>
  <si>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</si>
  <si>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</si>
  <si>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</si>
  <si>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</si>
  <si>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</si>
  <si>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</si>
  <si>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</si>
  <si>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</si>
  <si>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</si>
  <si>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</si>
  <si>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</si>
  <si>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</si>
  <si>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</si>
  <si>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</si>
  <si>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</si>
  <si>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</si>
  <si>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</si>
  <si>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</si>
  <si>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</si>
  <si>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</si>
  <si>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</si>
  <si>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</si>
  <si>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</si>
  <si>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</si>
  <si>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</si>
  <si>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</si>
  <si>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</si>
  <si>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</si>
  <si>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</si>
  <si>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</si>
  <si>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</si>
  <si>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</si>
  <si>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</si>
  <si>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</si>
  <si>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</si>
  <si>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</si>
  <si>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</si>
  <si>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</si>
  <si>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</si>
  <si>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</si>
  <si>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</si>
  <si>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</si>
  <si>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</si>
  <si>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</si>
  <si>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</si>
  <si>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</si>
  <si>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</si>
  <si>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</si>
  <si>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</si>
  <si>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</si>
  <si>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</si>
  <si>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</si>
  <si>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</si>
  <si>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</si>
  <si>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</si>
  <si>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</si>
  <si>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</si>
  <si>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</si>
  <si>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</si>
  <si>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</si>
  <si>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</si>
  <si>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</si>
  <si>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</si>
  <si>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</si>
  <si>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</si>
  <si>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</si>
  <si>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</si>
  <si>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</si>
  <si>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</si>
  <si>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</si>
  <si>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</si>
  <si>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</si>
  <si>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</si>
  <si>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</si>
  <si>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</si>
  <si>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</si>
  <si>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</si>
  <si>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</si>
  <si>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</si>
  <si>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</si>
  <si>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</si>
  <si>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</si>
  <si>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</si>
  <si>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</si>
  <si>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</si>
  <si>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</si>
  <si>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</si>
  <si>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</si>
  <si>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</si>
  <si>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</si>
  <si>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</si>
  <si>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</si>
  <si>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</si>
  <si>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</si>
  <si>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</si>
  <si>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</si>
  <si>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</si>
  <si>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</si>
  <si>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</si>
  <si>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</si>
  <si>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</si>
  <si>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</si>
  <si>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</si>
  <si>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</si>
  <si>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</si>
  <si>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</si>
  <si>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</si>
  <si>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</si>
  <si>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</si>
  <si>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</si>
  <si>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</si>
  <si>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</si>
  <si>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</si>
  <si>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</si>
  <si>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</si>
  <si>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</si>
  <si>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</si>
  <si>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</si>
  <si>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</si>
  <si>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</si>
  <si>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</si>
  <si>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</si>
  <si>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</si>
  <si>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</si>
  <si>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</si>
  <si>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</si>
  <si>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</si>
  <si>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</si>
  <si>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</si>
  <si>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</si>
  <si>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</si>
  <si>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</si>
  <si>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</si>
  <si>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</si>
  <si>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</si>
  <si>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</si>
  <si>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</si>
  <si>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</si>
  <si>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</si>
  <si>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</si>
  <si>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</si>
  <si>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</si>
  <si>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</si>
  <si>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</si>
  <si>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</si>
  <si>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</si>
  <si>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</si>
  <si>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</si>
  <si>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</si>
  <si>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</si>
  <si>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</si>
  <si>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</si>
  <si>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</si>
  <si>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</si>
  <si>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</si>
  <si>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</si>
  <si>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</si>
  <si>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</si>
  <si>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</si>
  <si>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</si>
  <si>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</si>
  <si>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</si>
  <si>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</si>
  <si>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</si>
  <si>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</si>
  <si>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</si>
  <si>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</si>
  <si>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</si>
  <si>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</si>
  <si>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</si>
  <si>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</si>
  <si>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</si>
  <si>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</si>
  <si>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</si>
  <si>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</si>
  <si>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</si>
  <si>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</si>
  <si>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</si>
  <si>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</si>
  <si>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</si>
  <si>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</si>
  <si>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</si>
  <si>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</si>
  <si>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</si>
  <si>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</si>
  <si>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</si>
  <si>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</si>
  <si>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</si>
  <si>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</si>
  <si>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</si>
  <si>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</si>
  <si>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</si>
  <si>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</si>
  <si>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</si>
  <si>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</si>
  <si>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</si>
  <si>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</si>
  <si>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</si>
  <si>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</si>
  <si>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</si>
  <si>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</si>
  <si>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</si>
  <si>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</si>
  <si>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</si>
  <si>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</si>
  <si>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</si>
  <si>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</si>
  <si>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</si>
  <si>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</si>
  <si>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</si>
  <si>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</si>
  <si>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</si>
  <si>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</si>
  <si>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</si>
  <si>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</si>
  <si>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</si>
  <si>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</si>
  <si>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</si>
  <si>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</si>
  <si>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</si>
  <si>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</si>
  <si>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</si>
  <si>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</si>
  <si>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</si>
  <si>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</si>
  <si>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</si>
  <si>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</si>
  <si>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</si>
  <si>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</si>
  <si>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</si>
  <si>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</si>
  <si>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</si>
  <si>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</si>
  <si>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</si>
  <si>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</si>
  <si>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</si>
  <si>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</si>
  <si>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</si>
  <si>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</si>
  <si>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</si>
  <si>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</si>
  <si>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</si>
  <si>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</si>
  <si>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</si>
  <si>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</si>
  <si>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</si>
  <si>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</si>
  <si>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</si>
  <si>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</si>
  <si>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</si>
  <si>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</si>
  <si>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</si>
  <si>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</si>
  <si>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</si>
  <si>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</si>
  <si>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</si>
  <si>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</si>
  <si>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</si>
  <si>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</si>
  <si>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</si>
  <si>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</si>
  <si>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</si>
  <si>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</si>
  <si>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</si>
  <si>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</si>
  <si>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</si>
  <si>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</si>
  <si>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</si>
  <si>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</si>
  <si>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</si>
  <si>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</si>
  <si>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</si>
  <si>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</si>
  <si>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</si>
  <si>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</si>
  <si>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</si>
  <si>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</si>
  <si>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</si>
  <si>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</si>
  <si>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</si>
  <si>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</si>
  <si>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</si>
  <si>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</si>
  <si>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</si>
  <si>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</si>
  <si>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</si>
  <si>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</si>
  <si>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</si>
  <si>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</si>
  <si>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</si>
  <si>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</si>
  <si>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</si>
  <si>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</si>
  <si>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</si>
  <si>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</si>
  <si>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</si>
  <si>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</si>
  <si>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</si>
  <si>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</si>
  <si>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</si>
  <si>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</si>
  <si>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</si>
  <si>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</si>
  <si>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</si>
  <si>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</si>
  <si>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</si>
  <si>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</si>
  <si>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</si>
  <si>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</si>
  <si>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</si>
  <si>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</si>
  <si>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</si>
  <si>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</si>
  <si>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</si>
  <si>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</si>
  <si>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</si>
  <si>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</si>
  <si>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</si>
  <si>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</si>
  <si>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</si>
  <si>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</si>
  <si>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</si>
  <si>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</si>
  <si>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</si>
  <si>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</si>
  <si>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</si>
  <si>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</si>
  <si>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</si>
  <si>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</si>
  <si>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</si>
  <si>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</si>
  <si>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</si>
  <si>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</si>
  <si>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</si>
  <si>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</si>
  <si>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</si>
  <si>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</si>
  <si>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</si>
  <si>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</si>
  <si>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</si>
  <si>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</si>
  <si>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</si>
  <si>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</si>
  <si>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</si>
  <si>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</si>
  <si>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</si>
  <si>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</si>
  <si>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</si>
  <si>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</si>
  <si>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</si>
  <si>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</si>
  <si>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</si>
  <si>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</si>
  <si>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</si>
  <si>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</si>
  <si>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</si>
  <si>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</si>
  <si>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</si>
  <si>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</si>
  <si>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</si>
  <si>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</si>
  <si>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</si>
  <si>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</si>
  <si>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</si>
  <si>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</si>
  <si>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</si>
  <si>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</si>
  <si>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</si>
  <si>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</si>
  <si>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</si>
  <si>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</si>
  <si>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</si>
  <si>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</si>
  <si>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</si>
  <si>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</si>
  <si>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</si>
  <si>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</si>
  <si>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</si>
  <si>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</si>
  <si>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</si>
  <si>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</si>
  <si>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</si>
  <si>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</si>
  <si>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</si>
  <si>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</si>
  <si>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</si>
  <si>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</si>
  <si>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</si>
  <si>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</si>
  <si>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</si>
  <si>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</si>
  <si>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</si>
  <si>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</si>
  <si>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</si>
  <si>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</si>
  <si>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</si>
  <si>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</si>
  <si>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</si>
  <si>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</si>
  <si>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</si>
  <si>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</si>
  <si>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</si>
  <si>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</si>
  <si>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</si>
  <si>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</si>
  <si>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</si>
  <si>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</si>
  <si>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</si>
  <si>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</si>
  <si>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</si>
  <si>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</si>
  <si>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</si>
  <si>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</si>
  <si>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</si>
  <si>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</si>
  <si>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</si>
  <si>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</si>
  <si>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</si>
  <si>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</si>
  <si>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</si>
  <si>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</si>
  <si>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</si>
  <si>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</si>
  <si>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</si>
  <si>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</si>
  <si>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</si>
  <si>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</si>
  <si>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</si>
  <si>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</si>
  <si>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</si>
  <si>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</si>
  <si>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</si>
  <si>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</si>
  <si>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</si>
  <si>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</si>
  <si>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</si>
  <si>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</si>
  <si>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</si>
  <si>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</si>
  <si>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</si>
  <si>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</si>
  <si>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</si>
  <si>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</si>
  <si>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</si>
  <si>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</si>
  <si>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</si>
  <si>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</si>
  <si>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</si>
  <si>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</si>
  <si>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</si>
  <si>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</si>
  <si>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</si>
  <si>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</si>
  <si>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</si>
  <si>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</si>
  <si>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</si>
  <si>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</si>
  <si>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</si>
  <si>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</si>
  <si>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</si>
  <si>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</si>
  <si>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</si>
  <si>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</si>
  <si>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</si>
  <si>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</si>
  <si>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</si>
  <si>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</si>
  <si>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</si>
  <si>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</si>
  <si>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</si>
  <si>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</si>
  <si>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</si>
  <si>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</si>
  <si>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</si>
  <si>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</si>
  <si>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</si>
  <si>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</si>
  <si>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</si>
  <si>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</si>
  <si>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</si>
  <si>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</si>
  <si>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</si>
  <si>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</si>
  <si>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</si>
  <si>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</si>
  <si>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</si>
  <si>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</si>
  <si>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</si>
  <si>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</si>
  <si>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</si>
  <si>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</si>
  <si>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</si>
  <si>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</si>
  <si>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</si>
  <si>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</si>
  <si>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</si>
  <si>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</si>
  <si>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</si>
  <si>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</si>
  <si>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</si>
  <si>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</si>
  <si>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</si>
  <si>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</si>
  <si>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</si>
  <si>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</si>
  <si>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</si>
  <si>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</si>
  <si>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</si>
  <si>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</si>
  <si>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</si>
  <si>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</si>
  <si>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</si>
  <si>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</si>
  <si>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</si>
  <si>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</si>
  <si>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</si>
  <si>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</si>
  <si>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</si>
  <si>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</si>
  <si>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</si>
  <si>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</si>
  <si>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</si>
  <si>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</si>
  <si>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</si>
  <si>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</si>
  <si>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</si>
  <si>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</si>
  <si>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</si>
  <si>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</si>
  <si>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</si>
  <si>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</si>
  <si>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</si>
  <si>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</si>
  <si>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</si>
  <si>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</si>
  <si>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</si>
  <si>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</si>
  <si>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</si>
  <si>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</si>
  <si>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</si>
  <si>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</si>
  <si>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</si>
  <si>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</si>
  <si>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</si>
  <si>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</si>
  <si>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</si>
  <si>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</si>
  <si>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</si>
  <si>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</si>
  <si>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</si>
  <si>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</si>
  <si>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</si>
  <si>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</si>
  <si>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</si>
  <si>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</si>
  <si>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</si>
  <si>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</si>
  <si>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</si>
  <si>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</si>
  <si>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</si>
  <si>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</si>
  <si>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</si>
  <si>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</si>
  <si>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</si>
  <si>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</si>
  <si>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</si>
  <si>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</si>
  <si>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</si>
  <si>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</si>
  <si>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</si>
  <si>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</si>
  <si>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</si>
  <si>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</si>
  <si>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</si>
  <si>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</si>
  <si>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</si>
  <si>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</si>
  <si>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</si>
  <si>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</si>
  <si>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</si>
  <si>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</si>
  <si>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</si>
  <si>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</si>
  <si>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</si>
  <si>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</si>
  <si>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</si>
  <si>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</si>
  <si>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</si>
  <si>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</si>
  <si>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</si>
  <si>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</si>
  <si>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</si>
  <si>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</si>
  <si>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</si>
  <si>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</si>
  <si>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</si>
  <si>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</si>
  <si>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</si>
  <si>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</si>
  <si>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</si>
  <si>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</si>
  <si>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</si>
  <si>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</si>
  <si>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</si>
  <si>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</si>
  <si>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</si>
  <si>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</si>
  <si>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</si>
  <si>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</si>
  <si>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</si>
  <si>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</si>
  <si>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</si>
  <si>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</si>
  <si>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</si>
  <si>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</si>
  <si>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</si>
  <si>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</si>
  <si>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</si>
  <si>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</si>
  <si>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</si>
  <si>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</si>
  <si>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</si>
  <si>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</si>
  <si>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</si>
  <si>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</si>
  <si>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</si>
  <si>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</si>
  <si>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</si>
  <si>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</si>
  <si>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</si>
  <si>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</si>
  <si>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</si>
  <si>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</si>
  <si>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</si>
  <si>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</si>
  <si>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</si>
  <si>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</si>
  <si>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</si>
  <si>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</si>
  <si>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</si>
  <si>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</si>
  <si>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</si>
  <si>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</si>
  <si>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</si>
  <si>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</si>
  <si>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</si>
  <si>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</si>
  <si>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</si>
  <si>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</si>
  <si>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</si>
  <si>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</si>
  <si>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</si>
  <si>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</si>
  <si>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</si>
  <si>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</si>
  <si>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</si>
  <si>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</si>
  <si>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</si>
  <si>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</si>
  <si>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</si>
  <si>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</si>
  <si>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2021-040</t>
  </si>
  <si>
    <t>Devin Blankenship</t>
  </si>
  <si>
    <t>Member</t>
  </si>
  <si>
    <t>1211 Pebble Creek RD SE</t>
  </si>
  <si>
    <t>Devin@TalonDevelopmentLLC.com</t>
  </si>
  <si>
    <t>Partner</t>
  </si>
  <si>
    <t>HH Family I, LP</t>
  </si>
  <si>
    <t>Ken@TalonDevelopmentLLC.com</t>
  </si>
  <si>
    <t>Hunters Haven</t>
  </si>
  <si>
    <t>116 Patriot Trail, Hinesville GA, 31313</t>
  </si>
  <si>
    <t>103.00</t>
  </si>
  <si>
    <t>City of Flemington</t>
  </si>
  <si>
    <t>cityofflemington.org</t>
  </si>
  <si>
    <t>Paul Hawkins</t>
  </si>
  <si>
    <t>Mayor</t>
  </si>
  <si>
    <t>156 Old Sunbury Rd</t>
  </si>
  <si>
    <t>N/a</t>
  </si>
  <si>
    <t>Kenneth Blankenship</t>
  </si>
  <si>
    <t>Direct</t>
  </si>
  <si>
    <t>Paul Smith</t>
  </si>
  <si>
    <t>40% of Units at 60% of AMI</t>
  </si>
  <si>
    <t>Flemington@coastalnow.net</t>
  </si>
  <si>
    <t>Section XIII-B:  Applicant is choosing to waive its Qualifed Contract Right in exchange for 3 points in Scoring Section XV A, Option 1.  Therefore, "Yes" was selected in Section XIII-B</t>
  </si>
  <si>
    <t>Talon Development Company  LLC</t>
  </si>
  <si>
    <t>Talon Development Company LLC</t>
  </si>
  <si>
    <t>For Profit</t>
  </si>
  <si>
    <t>Talon HH I GP, LLC</t>
  </si>
  <si>
    <t>TalonDevelopmentLLC.com</t>
  </si>
  <si>
    <t>Grove Creek HH I GP, LLC</t>
  </si>
  <si>
    <t>102 Guthrie Way</t>
  </si>
  <si>
    <t>Jorg R. Weissflog</t>
  </si>
  <si>
    <t>jorgrw@yahoo.com</t>
  </si>
  <si>
    <t>Elmington Property Management</t>
  </si>
  <si>
    <t>Brad Cather</t>
  </si>
  <si>
    <t>118 16th Ave S #200</t>
  </si>
  <si>
    <t>President</t>
  </si>
  <si>
    <t>www.oneelmington.com</t>
  </si>
  <si>
    <t>bcather@elmingtonpm.com</t>
  </si>
  <si>
    <t>Arnall Golden Gregory</t>
  </si>
  <si>
    <t>Jeff Adams</t>
  </si>
  <si>
    <t>171 17th Street</t>
  </si>
  <si>
    <t>www.agg.com</t>
  </si>
  <si>
    <t>jeff.adams@agg.com</t>
  </si>
  <si>
    <t>Cohn Reznick</t>
  </si>
  <si>
    <t>Julie McNulty</t>
  </si>
  <si>
    <t>2560 Lenox Road, Suite 2800</t>
  </si>
  <si>
    <t>www.cohnreznick.com</t>
  </si>
  <si>
    <t>julie.mcnulty@cohnreznick.com</t>
  </si>
  <si>
    <t>Geheber Lewis Associates LLC</t>
  </si>
  <si>
    <t>Fred Geheber</t>
  </si>
  <si>
    <t>643 11th Street</t>
  </si>
  <si>
    <t>www.glatl.com</t>
  </si>
  <si>
    <t>fgeheber@glaatl.com</t>
  </si>
  <si>
    <t>Josh Wheeler</t>
  </si>
  <si>
    <t>SEI Development LLC</t>
  </si>
  <si>
    <t>105 East Hendry Street</t>
  </si>
  <si>
    <t>JoshWheeler@kw.com</t>
  </si>
  <si>
    <t>Site Lighting</t>
  </si>
  <si>
    <t>Radon Testing</t>
  </si>
  <si>
    <t>Fee required for construction of site lighting.</t>
  </si>
  <si>
    <t>100% of the work is related to construction work.</t>
  </si>
  <si>
    <t>Radon testing is a requirement of our investors</t>
  </si>
  <si>
    <t>100% of the work is related to construction.</t>
  </si>
  <si>
    <t>First Year tax and insurance reserve is a requirement of our investors.</t>
  </si>
  <si>
    <t>This item is not in basis.</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</si>
  <si>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</si>
  <si>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</si>
  <si>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Novagradac</t>
  </si>
  <si>
    <t>DCA - HUD Utility Model</t>
  </si>
  <si>
    <t>Bellwether Enterprise</t>
  </si>
  <si>
    <t>Amortizing</t>
  </si>
  <si>
    <t>Other Administrative Expenses</t>
  </si>
  <si>
    <t>Common Area Water</t>
  </si>
  <si>
    <t>This development is a Family development.</t>
  </si>
  <si>
    <t>Agree</t>
  </si>
  <si>
    <t>N/ap</t>
  </si>
  <si>
    <t>N/Ap</t>
  </si>
  <si>
    <t>Real Property Research Group</t>
  </si>
  <si>
    <t>4 months</t>
  </si>
  <si>
    <t>Memorial Drive</t>
  </si>
  <si>
    <t>Live Oak Villas</t>
  </si>
  <si>
    <t>Ashton Place</t>
  </si>
  <si>
    <t>The Pines at Willowbrook</t>
  </si>
  <si>
    <t>Royal Oaks</t>
  </si>
  <si>
    <t>2014-012</t>
  </si>
  <si>
    <t>2015-052</t>
  </si>
  <si>
    <t>2018-025</t>
  </si>
  <si>
    <t>2001-021</t>
  </si>
  <si>
    <t>There is no identity of interest between the buyer and seller, therefore no appraisal was required for the 9% application.</t>
  </si>
  <si>
    <t>Geotechnical &amp; Enviornmental Consultants</t>
  </si>
  <si>
    <t>Purchase Contract</t>
  </si>
  <si>
    <t>The purchase and sale agreement goes to May 31, 2022 with (3) 60-day extensions. Grovecreek Ventures, LCC has assigned this P&amp;S agreement to HH Family I, LP. The assignment agreement is included in Tab 8 "Site Control"</t>
  </si>
  <si>
    <t>Georgia Power</t>
  </si>
  <si>
    <t>The proposed development will be 100% electic, no gas.</t>
  </si>
  <si>
    <t>City of Hinesville</t>
  </si>
  <si>
    <t>Room</t>
  </si>
  <si>
    <t>Gazebo</t>
  </si>
  <si>
    <t>On-site laundry</t>
  </si>
  <si>
    <t xml:space="preserve">Project is not located in the QCT and therefore is not eligible to provide a CSF </t>
  </si>
  <si>
    <t>This is not a rehab development</t>
  </si>
  <si>
    <t>The CSDP and supplemental documents meet the requirements above.</t>
  </si>
  <si>
    <t>NGBS Scoring worksheet and summmary are provided in the applicaiton.</t>
  </si>
  <si>
    <t>Teresa Kitay at Law</t>
  </si>
  <si>
    <t>Yes - W&amp;D hookups installed in each unit</t>
  </si>
  <si>
    <t>Project is a New Construction project therefore item A above is NA. The development will comply with all standards mentioned above.</t>
  </si>
  <si>
    <t>The applicant was deemed qualified at Pre-Application</t>
  </si>
  <si>
    <t>This section is NA</t>
  </si>
  <si>
    <t>No Legal Opinions were required</t>
  </si>
  <si>
    <t xml:space="preserve">The site is currently wooded land, no displacement will occur. </t>
  </si>
  <si>
    <t>The applicant agrees to submit a marketing plan for AFFH</t>
  </si>
  <si>
    <t>The development represents a proper utilization of the Housing Credit Program to provide high quality units within an area that has a need for affordable housing.</t>
  </si>
  <si>
    <t xml:space="preserve">The development has twelve (12) desirable activities within 1.5 miles from the site entrance (per Google Maps). Seven (7) of these activities are within .5 miles walking distance from the proposed site entrance. </t>
  </si>
  <si>
    <t>Liberty Transit</t>
  </si>
  <si>
    <t>912-877-1472</t>
  </si>
  <si>
    <t>https://www.cityofhinesville.org/DocumentCenter/View/1553/Transit-Ride-Guide-Electronic-Version</t>
  </si>
  <si>
    <t>info@libertytransit.org</t>
  </si>
  <si>
    <t>Joseph Martin Elemantary School</t>
  </si>
  <si>
    <t>Midway Middle School</t>
  </si>
  <si>
    <t>Liberty County High School</t>
  </si>
  <si>
    <t>Site Census Tract</t>
  </si>
  <si>
    <t>Above 60th Percentile</t>
  </si>
  <si>
    <t>At or Below 60th Percentile</t>
  </si>
  <si>
    <t>Liberty's Initiative for Community Housing, Liberty County GICH</t>
  </si>
  <si>
    <t xml:space="preserve">Project received a GICH letter from Libery County GICH's chairman, Georgia Holliday. We also received a letter of supprt from the Mayor of Flemmington. Both letters are provided within the application. </t>
  </si>
  <si>
    <t>Truist Bank</t>
  </si>
  <si>
    <t>Multifamily projects in areas qualifying for 2+ Stable Communities pts</t>
  </si>
  <si>
    <t>State Boost</t>
  </si>
  <si>
    <t>City Limits</t>
  </si>
  <si>
    <t>Jorg Weissflog</t>
  </si>
  <si>
    <t>HH Family I GP, LLC</t>
  </si>
  <si>
    <t>North Grove Ventures, LLC</t>
  </si>
  <si>
    <t>psmith@directtaxcredits.com</t>
  </si>
  <si>
    <t>The development is below the 2021 DCA cost limit of $16,573,480</t>
  </si>
  <si>
    <t>The development is located within a .25 mile walking distance to an established transit stop that runs Monday-Friday 8 AM to 5 PM. The stop is labled as "Walmart East 84" on the red line, which has 8 stops per day. This service is publized for the general public, and is therefore available to all residents. The Liberty Transit link above links to the electronic flyer that shows all schedules and routes for all of the Liberty Transit's routes.</t>
  </si>
  <si>
    <t xml:space="preserve">The development's census tract, 103.00, is below the 15% povery level for Metro sites which qualifies for 3 poitnts. Additionally, both Life Expectancy and Health Insurance Rates are above the 60th percentile which qualifies for an additional 2 points. </t>
  </si>
  <si>
    <t>Per disussions with local county tax assessor, the income approach is used on all multifamily properties. The backup for our tax estimate is loctaed in Apendix I:Threshold Project Feasibility tab. Backup for insurance estimate can also be found in the same tab location</t>
  </si>
  <si>
    <t>The debt service payments do not deviate from the amounts shown in the Sources of Funds tab. The development meets Threshold Feasibility requirements.</t>
  </si>
  <si>
    <t>Members of the Developer Entoty are also members of the Other GP entity</t>
  </si>
  <si>
    <t>Members of the Other GP #1 entity are also memebrs of the developer</t>
  </si>
  <si>
    <t>Members of the Other GP #2 entity are also members of the co-developer and syndicator entity</t>
  </si>
  <si>
    <t>Members of Other GP #2 and Co-Developer are also members of Syndicator</t>
  </si>
  <si>
    <t>175 Fulton CT</t>
  </si>
  <si>
    <t>Principle</t>
  </si>
  <si>
    <t>www.directtaxcredits.com</t>
  </si>
  <si>
    <t>Prestwick Construction Company, LLC</t>
  </si>
  <si>
    <t>3715 Northside Parkwa, BLDG 400, STE 120</t>
  </si>
  <si>
    <t>Ray Dotson</t>
  </si>
  <si>
    <t>Ray@prestwickcomapnies.com</t>
  </si>
  <si>
    <t>www.prestwickcompanies.com</t>
  </si>
  <si>
    <t>The development has 3 grades above the CCRPI average which would qualify for 1 point, but also has a total of 8 grades with BTO designation since 2018 which qualifiies for a final score of 1.5 points.</t>
  </si>
  <si>
    <t xml:space="preserve">Per the DCA Interactive Map of previous awards provided in tab #35, no 9% awards have taken place in the past 15 years within The City of Flemington. </t>
  </si>
  <si>
    <t>Talon Development LLC will develop a market quality family product  in the city of Flemington to provide needed quality affordable housing to the area. The family multifamily complex will consist of 72 units (16-one bedroom, 40-two bedroom, and 16-three bedrooom units). All units are planned to be constructed in a singular building that includes a community room and other site amenities.  The project will be designed to meet a NGBS Green Certification, and will utilize aesthetics that are reflective of today's standards by utilizing brick and fiber cement siding designed to last.
As mentioned above, common area amenities will include a community room with warming kitchen, community exterior gathering area, on-site laundry room, covered pavillion with grills, and a playground.  Resident enrichment services, well thought out site design/green space, and on-going social planning by management will also enhance the community experience for our tenants.  
Located in a redevelopment PUD known as Flemington Village, the project’s greatest asset is it’s proximity to parks, groceries, transit, resturants, and the downtown Hinesville area.</t>
  </si>
  <si>
    <t xml:space="preserve">Construction cost estimate is based off historical cost to deliver similar projects that are currenlty under construction with previous company and contractor, and adds some costs due to inflation and current market material cost concerns. 
Local government fees were confirmed by the local government and our construction manager. Water Tap Fees are included in the total impact fee line item as costs assiociated with tap fees are not explicitly broken out by City of Hinesville Water and Sewer.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 </t>
  </si>
  <si>
    <t>Construction cost estimate is based off historical cost to deliver similar projects that are currenlty under construction with previous company and contractor, and adds some costs due to inflation and current market material cost concerns. 
Local government fees were confirmed by the local government and our in house construction manager</t>
  </si>
  <si>
    <t>Elmington Property Management will identify the needs of the community and provide social and recreational programming, and monitor resident participation.</t>
  </si>
  <si>
    <t xml:space="preserve">Ashton Place was awarded prior to 1996 and thus DCA's interactive map/Funding and Funding Cycle Selections does not list this project, and therefore the DCA project number could not be located. The development will include 72 units. The overall market has a very healthy occupancy of 99.6% and an overall capture rate of 7% which is well below DCA standards. All LIHTC properties within the market currently have waiting lists, and no projects have been awarded in Flemington for over 15 years. </t>
  </si>
  <si>
    <t>The ESA Phase I did not require a Phase II. The Noise levels are below DCA threshold. Wetlands and state waters are on the project site, but the construction of the project will not have an impact on either as mentioned in section 5.2 of the Phase I report and in the GEC Wetlands letter provided in the application documents. The project is located within Zone X-unshaded accorinding to the FEMA map, which means it is outside of the .2% annual chance floodplain. There are portions of the site witthing the Special Flood Hazard Area, but that portion of the site will not be disturbed per section 5.3 of the Phase I report. Additionally, though 1 endangered species, 3 threatened species, and 1 candidate species were mentioned to be in the project area, GEC did not observe any of these at the site, and does not anticipate that they will be a factor for this project as stated in section 5.4 of the Phase I report.</t>
  </si>
  <si>
    <t>The site is zoned NC/R, which permits Multifamily Apartments as explained in the letter from Gabrielle Hartage. Please note the map within the ordinace is outdated from 2010, and the updated map is provided as item 1003HntHvnZningMap in the "Site Zoning" Tab</t>
  </si>
  <si>
    <t xml:space="preserve">Water and Sewer are located at the site per the letter from City of Hinesville Water and Sewer and tie locations depcited on the CSDP. No easements, commitments, or improvements are needed. </t>
  </si>
  <si>
    <t>None of the proposed amenities require a waiver.</t>
  </si>
  <si>
    <t>Project is a Family project therefore item A.3 above is NA. The development will comply with all standards mentioned above and will contract with a DCA qualified consultant during design and construction.</t>
  </si>
  <si>
    <t xml:space="preserve">The development commits to signing an annual MOU with DCA. The project's management company will help faciliate this MOU with DCA. The project is a Family project, and contains the required 20% of units to set aside per the requirements of this section. The application includes a completed DCA Housing Assistance Competitive Ranking form with supporting documentation demonstrating why this development fits the criteria for these points. </t>
  </si>
  <si>
    <t>Members of this LLC are the two GP1 and GP2 entities. Members of GP1 and GP2 are also members of development entities.</t>
  </si>
  <si>
    <t>Members of the Co-Developer Entity are also members of the  Other GP entity and syndicator entity</t>
  </si>
  <si>
    <t>A member of development entity 1 is a member of the contractor.</t>
  </si>
  <si>
    <t>Identity of Interest for the contractor: Kenneth Blankenship is currently a member of Talon Development LLC and a member of Prestwick Construction Company LLC. Blankenship retired from Prestwick Development Company LLC effective 12/31/2020 and is no longer a member of Prestwick Development Company LLC. The intention of all Prestwick partners was for Blankenship to retire from Prestwick Construction Company LLC effective on the same date, however, that has been delayed until September 30th, 2021. We are disclosing this IOI as of the date of this application submission, however, we fully expect the IOI to terminate on September 30th, 2021. 
Please note that the address on the Direct Tax Credits website is in the process of being updated. The address provided above is correct.</t>
  </si>
  <si>
    <t>Direct Tax Credits (fund name TBD)</t>
  </si>
  <si>
    <t>Site access is legally accessible from Patriot Trail, a paved public road</t>
  </si>
  <si>
    <t>2021-041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</si>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</sst>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8">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8" xfId="0" applyFont="1" applyBorder="1" applyAlignment="1" applyProtection="1">
      <alignment horizontal="center"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167" fontId="46" fillId="5" borderId="37" xfId="0" applyNumberFormat="1"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10"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Hunters Haven</v>
      </c>
    </row>
    <row r="3" spans="1:6" ht="15" customHeight="1">
      <c r="A3" s="761" t="str">
        <f>CONCATENATE('Part I-Project Information'!F39,", ", 'Part I-Project Information'!J40," County")</f>
        <v>Flemington, Liberty County</v>
      </c>
    </row>
    <row r="4" spans="1:6" ht="12" customHeight="1">
      <c r="A4" s="1197"/>
    </row>
    <row r="5" spans="1:6" ht="72" customHeight="1">
      <c r="A5" s="3132" t="s">
        <v>7004</v>
      </c>
      <c r="B5" s="3133" t="s">
        <v>4081</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dZez6xe7f1e3Z6TFoYg+veGxotF4tySCZonYf4YIAzxDVpRV444S3dx6NiDW3zhhOABqR6RY5xjwptvr8shJFA==" saltValue="u4+XdIPg37aZeOmc6Xjab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0" zoomScale="89" zoomScaleNormal="89" workbookViewId="0">
      <selection activeCell="A220"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8"/>
    <col min="381" max="493" width="9.140625" style="146"/>
    <col min="494" max="16384" width="9.140625" style="82"/>
  </cols>
  <sheetData>
    <row r="1" spans="1:493" s="2808" customFormat="1" hidden="1">
      <c r="B1" s="2808" t="s">
        <v>6706</v>
      </c>
      <c r="C1" s="2808" t="s">
        <v>163</v>
      </c>
      <c r="D1" s="2808" t="s">
        <v>165</v>
      </c>
      <c r="E1" s="2808" t="s">
        <v>6707</v>
      </c>
      <c r="F1" s="2808" t="s">
        <v>6708</v>
      </c>
      <c r="G1" s="2808" t="s">
        <v>6709</v>
      </c>
      <c r="H1" s="2808" t="s">
        <v>6710</v>
      </c>
      <c r="I1" s="2808" t="s">
        <v>6711</v>
      </c>
      <c r="J1" s="2808" t="s">
        <v>6712</v>
      </c>
      <c r="K1" s="2808" t="s">
        <v>3256</v>
      </c>
      <c r="L1" s="2808" t="s">
        <v>6713</v>
      </c>
      <c r="M1" s="2808" t="s">
        <v>6714</v>
      </c>
      <c r="N1" s="2808" t="s">
        <v>6715</v>
      </c>
      <c r="O1" s="2808" t="s">
        <v>6716</v>
      </c>
      <c r="P1" s="2808" t="s">
        <v>367</v>
      </c>
      <c r="Q1" s="2808" t="s">
        <v>6717</v>
      </c>
      <c r="JW1" s="2849"/>
      <c r="KB1" s="2849"/>
      <c r="KG1" s="2849"/>
      <c r="KL1" s="2849"/>
      <c r="KM1" s="2849"/>
      <c r="KN1" s="2849"/>
      <c r="KO1" s="2849"/>
      <c r="KP1" s="2849"/>
      <c r="KQ1" s="2849"/>
      <c r="KR1" s="2849"/>
      <c r="KS1" s="2849"/>
      <c r="KT1" s="2849"/>
      <c r="KU1" s="2849"/>
      <c r="KV1" s="2849"/>
      <c r="KW1" s="2849"/>
      <c r="KX1" s="2849"/>
      <c r="KY1" s="2849"/>
      <c r="KZ1" s="2849"/>
      <c r="LA1" s="2849"/>
      <c r="LB1" s="2849"/>
      <c r="LC1" s="2849"/>
      <c r="LD1" s="2849"/>
      <c r="LE1" s="2849"/>
      <c r="LF1" s="2849"/>
      <c r="LG1" s="2849"/>
      <c r="LN1" s="2850"/>
      <c r="MD1" s="2850"/>
      <c r="ME1" s="2850"/>
    </row>
    <row r="2" spans="1:493" s="90" customFormat="1" ht="14.1" customHeight="1">
      <c r="A2" s="3829" t="str">
        <f>CONCATENATE("PART SIX - PROJECTED REVENUES &amp; EXPENSES","  -  ",'Part I-Project Information'!$O$7," ",'Part I-Project Information'!$F$35,", ",'Part I-Project Information'!F39,", ",'Part I-Project Information'!J40," County")</f>
        <v>PART SIX - PROJECTED REVENUES &amp; EXPENSES  -  2021-041 Hunters Haven, Flemington, Liberty County</v>
      </c>
      <c r="B2" s="3830"/>
      <c r="C2" s="3830"/>
      <c r="D2" s="3830"/>
      <c r="E2" s="3830"/>
      <c r="F2" s="3830"/>
      <c r="G2" s="3830"/>
      <c r="H2" s="3830"/>
      <c r="I2" s="3830"/>
      <c r="J2" s="3830"/>
      <c r="K2" s="3830"/>
      <c r="L2" s="3830"/>
      <c r="M2" s="3830"/>
      <c r="N2" s="3830"/>
      <c r="O2" s="3830"/>
      <c r="P2" s="3830"/>
      <c r="Q2" s="3831"/>
      <c r="T2" s="1499" t="str">
        <f>A2</f>
        <v>PART SIX - PROJECTED REVENUES &amp; EXPENSES  -  2021-041 Hunters Haven, Flemington, Liberty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6308</v>
      </c>
      <c r="E4" s="1585"/>
      <c r="F4" s="1585"/>
      <c r="G4" s="1585"/>
      <c r="H4" s="1585"/>
      <c r="I4" s="1585"/>
      <c r="J4" s="1585"/>
      <c r="K4" s="120"/>
      <c r="L4" s="120"/>
      <c r="M4" s="120"/>
      <c r="O4" s="177" t="s">
        <v>547</v>
      </c>
      <c r="P4" s="3837" t="str">
        <f>'Part I-Project Information'!$O$41</f>
        <v>Hinesville-Fort Stewart</v>
      </c>
      <c r="Q4" s="3837"/>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00" t="s">
        <v>3165</v>
      </c>
      <c r="MG4" s="3900" t="s">
        <v>3166</v>
      </c>
      <c r="MH4" s="3900" t="s">
        <v>3167</v>
      </c>
      <c r="MI4" s="3900" t="s">
        <v>3168</v>
      </c>
      <c r="MJ4" s="3900"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2" t="s">
        <v>3332</v>
      </c>
      <c r="R5" s="2652"/>
      <c r="S5" s="405"/>
      <c r="T5" s="405"/>
      <c r="U5" s="405"/>
      <c r="W5" s="406"/>
      <c r="X5" s="3900" t="s">
        <v>3835</v>
      </c>
      <c r="Y5" s="3900" t="s">
        <v>3836</v>
      </c>
      <c r="Z5" s="3900" t="s">
        <v>3837</v>
      </c>
      <c r="AA5" s="3900" t="s">
        <v>3838</v>
      </c>
      <c r="AB5" s="3900" t="s">
        <v>3839</v>
      </c>
      <c r="AC5" s="3900" t="s">
        <v>3840</v>
      </c>
      <c r="AD5" s="3900" t="s">
        <v>3841</v>
      </c>
      <c r="AE5" s="3900" t="s">
        <v>3842</v>
      </c>
      <c r="AF5" s="3900" t="s">
        <v>3843</v>
      </c>
      <c r="AG5" s="3900" t="s">
        <v>3844</v>
      </c>
      <c r="AH5" s="3900" t="s">
        <v>885</v>
      </c>
      <c r="AI5" s="3900" t="s">
        <v>726</v>
      </c>
      <c r="AJ5" s="3900" t="s">
        <v>727</v>
      </c>
      <c r="AK5" s="3900" t="s">
        <v>728</v>
      </c>
      <c r="AL5" s="3900" t="s">
        <v>729</v>
      </c>
      <c r="AM5" s="3900" t="s">
        <v>886</v>
      </c>
      <c r="AN5" s="3900" t="s">
        <v>2206</v>
      </c>
      <c r="AO5" s="3900" t="s">
        <v>2207</v>
      </c>
      <c r="AP5" s="3900" t="s">
        <v>2208</v>
      </c>
      <c r="AQ5" s="3900" t="s">
        <v>2209</v>
      </c>
      <c r="AR5" s="3900" t="s">
        <v>3846</v>
      </c>
      <c r="AS5" s="3900" t="s">
        <v>3847</v>
      </c>
      <c r="AT5" s="3900" t="s">
        <v>3848</v>
      </c>
      <c r="AU5" s="3900" t="s">
        <v>3849</v>
      </c>
      <c r="AV5" s="3900" t="s">
        <v>3845</v>
      </c>
      <c r="AW5" s="3900" t="s">
        <v>887</v>
      </c>
      <c r="AX5" s="3900" t="s">
        <v>2210</v>
      </c>
      <c r="AY5" s="3900" t="s">
        <v>2211</v>
      </c>
      <c r="AZ5" s="3900" t="s">
        <v>2212</v>
      </c>
      <c r="BA5" s="3900" t="s">
        <v>2213</v>
      </c>
      <c r="BB5" s="3900" t="s">
        <v>3850</v>
      </c>
      <c r="BC5" s="3900" t="s">
        <v>3851</v>
      </c>
      <c r="BD5" s="3900" t="s">
        <v>3852</v>
      </c>
      <c r="BE5" s="3900" t="s">
        <v>3853</v>
      </c>
      <c r="BF5" s="3900" t="s">
        <v>3854</v>
      </c>
      <c r="BG5" s="3900" t="s">
        <v>122</v>
      </c>
      <c r="BH5" s="3900" t="s">
        <v>2214</v>
      </c>
      <c r="BI5" s="3900" t="s">
        <v>2215</v>
      </c>
      <c r="BJ5" s="3900" t="s">
        <v>2216</v>
      </c>
      <c r="BK5" s="3900" t="s">
        <v>1106</v>
      </c>
      <c r="BL5" s="3900" t="s">
        <v>3855</v>
      </c>
      <c r="BM5" s="3900" t="s">
        <v>3856</v>
      </c>
      <c r="BN5" s="3900" t="s">
        <v>3857</v>
      </c>
      <c r="BO5" s="3900" t="s">
        <v>3858</v>
      </c>
      <c r="BP5" s="3900" t="s">
        <v>3859</v>
      </c>
      <c r="BQ5" s="3900" t="s">
        <v>529</v>
      </c>
      <c r="BR5" s="3900" t="s">
        <v>530</v>
      </c>
      <c r="BS5" s="3900" t="s">
        <v>548</v>
      </c>
      <c r="BT5" s="3900" t="s">
        <v>549</v>
      </c>
      <c r="BU5" s="3900" t="s">
        <v>550</v>
      </c>
      <c r="BV5" s="3900" t="s">
        <v>3860</v>
      </c>
      <c r="BW5" s="3900" t="s">
        <v>3861</v>
      </c>
      <c r="BX5" s="3900" t="s">
        <v>3862</v>
      </c>
      <c r="BY5" s="3900" t="s">
        <v>3863</v>
      </c>
      <c r="BZ5" s="3900" t="s">
        <v>3864</v>
      </c>
      <c r="CA5" s="3900" t="s">
        <v>551</v>
      </c>
      <c r="CB5" s="3900" t="s">
        <v>552</v>
      </c>
      <c r="CC5" s="3900" t="s">
        <v>553</v>
      </c>
      <c r="CD5" s="3900" t="s">
        <v>554</v>
      </c>
      <c r="CE5" s="3900" t="s">
        <v>555</v>
      </c>
      <c r="CF5" s="3900" t="s">
        <v>556</v>
      </c>
      <c r="CG5" s="3900" t="s">
        <v>557</v>
      </c>
      <c r="CH5" s="3900" t="s">
        <v>896</v>
      </c>
      <c r="CI5" s="3900" t="s">
        <v>897</v>
      </c>
      <c r="CJ5" s="3900" t="s">
        <v>898</v>
      </c>
      <c r="CK5" s="3900" t="s">
        <v>3870</v>
      </c>
      <c r="CL5" s="3900" t="s">
        <v>3871</v>
      </c>
      <c r="CM5" s="3900" t="s">
        <v>3872</v>
      </c>
      <c r="CN5" s="3900" t="s">
        <v>3873</v>
      </c>
      <c r="CO5" s="3900" t="s">
        <v>3874</v>
      </c>
      <c r="CP5" s="3900" t="s">
        <v>3865</v>
      </c>
      <c r="CQ5" s="3900" t="s">
        <v>3866</v>
      </c>
      <c r="CR5" s="3900" t="s">
        <v>3867</v>
      </c>
      <c r="CS5" s="3900" t="s">
        <v>3868</v>
      </c>
      <c r="CT5" s="3900" t="s">
        <v>3869</v>
      </c>
      <c r="CU5" s="3900" t="s">
        <v>3875</v>
      </c>
      <c r="CV5" s="3900" t="s">
        <v>3876</v>
      </c>
      <c r="CW5" s="3900" t="s">
        <v>3877</v>
      </c>
      <c r="CX5" s="3900" t="s">
        <v>3878</v>
      </c>
      <c r="CY5" s="3900" t="s">
        <v>3879</v>
      </c>
      <c r="CZ5" s="3900" t="s">
        <v>474</v>
      </c>
      <c r="DA5" s="3900" t="s">
        <v>475</v>
      </c>
      <c r="DB5" s="3900" t="s">
        <v>476</v>
      </c>
      <c r="DC5" s="3900" t="s">
        <v>477</v>
      </c>
      <c r="DD5" s="3900" t="s">
        <v>478</v>
      </c>
      <c r="DE5" s="3900" t="s">
        <v>3880</v>
      </c>
      <c r="DF5" s="3900" t="s">
        <v>3881</v>
      </c>
      <c r="DG5" s="3900" t="s">
        <v>3882</v>
      </c>
      <c r="DH5" s="3900" t="s">
        <v>3883</v>
      </c>
      <c r="DI5" s="3900" t="s">
        <v>3884</v>
      </c>
      <c r="DJ5" s="3900" t="s">
        <v>846</v>
      </c>
      <c r="DK5" s="3900" t="s">
        <v>847</v>
      </c>
      <c r="DL5" s="3900" t="s">
        <v>848</v>
      </c>
      <c r="DM5" s="3900" t="s">
        <v>849</v>
      </c>
      <c r="DN5" s="3900" t="s">
        <v>850</v>
      </c>
      <c r="DO5" s="3900" t="s">
        <v>851</v>
      </c>
      <c r="DP5" s="3900" t="s">
        <v>852</v>
      </c>
      <c r="DQ5" s="3900" t="s">
        <v>853</v>
      </c>
      <c r="DR5" s="3900" t="s">
        <v>854</v>
      </c>
      <c r="DS5" s="3900" t="s">
        <v>855</v>
      </c>
      <c r="DT5" s="3900" t="s">
        <v>3885</v>
      </c>
      <c r="DU5" s="3900" t="s">
        <v>3886</v>
      </c>
      <c r="DV5" s="3900" t="s">
        <v>3887</v>
      </c>
      <c r="DW5" s="3900" t="s">
        <v>3888</v>
      </c>
      <c r="DX5" s="3900" t="s">
        <v>3889</v>
      </c>
      <c r="DY5" s="3900" t="s">
        <v>3890</v>
      </c>
      <c r="DZ5" s="3900" t="s">
        <v>3891</v>
      </c>
      <c r="EA5" s="3900" t="s">
        <v>3892</v>
      </c>
      <c r="EB5" s="3900" t="s">
        <v>3893</v>
      </c>
      <c r="EC5" s="3900" t="s">
        <v>3894</v>
      </c>
      <c r="ED5" s="3900" t="s">
        <v>2319</v>
      </c>
      <c r="EE5" s="3900" t="s">
        <v>2320</v>
      </c>
      <c r="EF5" s="3900" t="s">
        <v>2321</v>
      </c>
      <c r="EG5" s="3900" t="s">
        <v>2322</v>
      </c>
      <c r="EH5" s="3900" t="s">
        <v>2323</v>
      </c>
      <c r="EI5" s="3900" t="s">
        <v>3895</v>
      </c>
      <c r="EJ5" s="3900" t="s">
        <v>3896</v>
      </c>
      <c r="EK5" s="3900" t="s">
        <v>3897</v>
      </c>
      <c r="EL5" s="3900" t="s">
        <v>3898</v>
      </c>
      <c r="EM5" s="3900" t="s">
        <v>3899</v>
      </c>
      <c r="EN5" s="3900" t="s">
        <v>3900</v>
      </c>
      <c r="EO5" s="3900" t="s">
        <v>3901</v>
      </c>
      <c r="EP5" s="3900" t="s">
        <v>3902</v>
      </c>
      <c r="EQ5" s="3900" t="s">
        <v>3903</v>
      </c>
      <c r="ER5" s="3900" t="s">
        <v>3904</v>
      </c>
      <c r="ES5" s="3900" t="s">
        <v>110</v>
      </c>
      <c r="ET5" s="3900" t="s">
        <v>1109</v>
      </c>
      <c r="EU5" s="3900" t="s">
        <v>1110</v>
      </c>
      <c r="EV5" s="3900" t="s">
        <v>1167</v>
      </c>
      <c r="EW5" s="3900" t="s">
        <v>1168</v>
      </c>
      <c r="EX5" s="3900" t="s">
        <v>125</v>
      </c>
      <c r="EY5" s="3900" t="s">
        <v>1169</v>
      </c>
      <c r="EZ5" s="3900" t="s">
        <v>1170</v>
      </c>
      <c r="FA5" s="3900" t="s">
        <v>1171</v>
      </c>
      <c r="FB5" s="3900" t="s">
        <v>1172</v>
      </c>
      <c r="FC5" s="3900" t="s">
        <v>3905</v>
      </c>
      <c r="FD5" s="3900" t="s">
        <v>3906</v>
      </c>
      <c r="FE5" s="3900" t="s">
        <v>3907</v>
      </c>
      <c r="FF5" s="3900" t="s">
        <v>3908</v>
      </c>
      <c r="FG5" s="3900" t="s">
        <v>3909</v>
      </c>
      <c r="FH5" s="3900" t="s">
        <v>124</v>
      </c>
      <c r="FI5" s="3900" t="s">
        <v>877</v>
      </c>
      <c r="FJ5" s="3900" t="s">
        <v>878</v>
      </c>
      <c r="FK5" s="3900" t="s">
        <v>879</v>
      </c>
      <c r="FL5" s="3900" t="s">
        <v>880</v>
      </c>
      <c r="FM5" s="3900" t="s">
        <v>3910</v>
      </c>
      <c r="FN5" s="3900" t="s">
        <v>3911</v>
      </c>
      <c r="FO5" s="3900" t="s">
        <v>3912</v>
      </c>
      <c r="FP5" s="3900" t="s">
        <v>3913</v>
      </c>
      <c r="FQ5" s="3900" t="s">
        <v>3914</v>
      </c>
      <c r="FR5" s="3900" t="s">
        <v>123</v>
      </c>
      <c r="FS5" s="3900" t="s">
        <v>881</v>
      </c>
      <c r="FT5" s="3900" t="s">
        <v>882</v>
      </c>
      <c r="FU5" s="3900" t="s">
        <v>883</v>
      </c>
      <c r="FV5" s="3900" t="s">
        <v>884</v>
      </c>
      <c r="FW5" s="3900" t="s">
        <v>776</v>
      </c>
      <c r="FX5" s="3900" t="s">
        <v>777</v>
      </c>
      <c r="FY5" s="3900" t="s">
        <v>778</v>
      </c>
      <c r="FZ5" s="3900" t="s">
        <v>779</v>
      </c>
      <c r="GA5" s="3900" t="s">
        <v>780</v>
      </c>
      <c r="GB5" s="3900" t="s">
        <v>921</v>
      </c>
      <c r="GC5" s="3900" t="s">
        <v>922</v>
      </c>
      <c r="GD5" s="3900" t="s">
        <v>923</v>
      </c>
      <c r="GE5" s="3900" t="s">
        <v>924</v>
      </c>
      <c r="GF5" s="3900" t="s">
        <v>2318</v>
      </c>
      <c r="GG5" s="3900" t="s">
        <v>1378</v>
      </c>
      <c r="GH5" s="3900" t="s">
        <v>1379</v>
      </c>
      <c r="GI5" s="3900" t="s">
        <v>1380</v>
      </c>
      <c r="GJ5" s="3900" t="s">
        <v>1381</v>
      </c>
      <c r="GK5" s="3900" t="s">
        <v>1382</v>
      </c>
      <c r="GL5" s="3900" t="s">
        <v>417</v>
      </c>
      <c r="GM5" s="3900" t="s">
        <v>418</v>
      </c>
      <c r="GN5" s="3900" t="s">
        <v>419</v>
      </c>
      <c r="GO5" s="3900" t="s">
        <v>420</v>
      </c>
      <c r="GP5" s="3900" t="s">
        <v>421</v>
      </c>
      <c r="GQ5" s="3900" t="s">
        <v>14</v>
      </c>
      <c r="GR5" s="3900" t="s">
        <v>15</v>
      </c>
      <c r="GS5" s="3900" t="s">
        <v>16</v>
      </c>
      <c r="GT5" s="3900" t="s">
        <v>17</v>
      </c>
      <c r="GU5" s="3900" t="s">
        <v>18</v>
      </c>
      <c r="GV5" s="3900" t="s">
        <v>213</v>
      </c>
      <c r="GW5" s="3900" t="s">
        <v>214</v>
      </c>
      <c r="GX5" s="3900" t="s">
        <v>215</v>
      </c>
      <c r="GY5" s="3900" t="s">
        <v>1727</v>
      </c>
      <c r="GZ5" s="3900" t="s">
        <v>1728</v>
      </c>
      <c r="HA5" s="3900" t="s">
        <v>1729</v>
      </c>
      <c r="HB5" s="3900" t="s">
        <v>563</v>
      </c>
      <c r="HC5" s="3900" t="s">
        <v>564</v>
      </c>
      <c r="HD5" s="3900" t="s">
        <v>565</v>
      </c>
      <c r="HE5" s="3900" t="s">
        <v>566</v>
      </c>
      <c r="HF5" s="3900" t="s">
        <v>19</v>
      </c>
      <c r="HG5" s="3900" t="s">
        <v>20</v>
      </c>
      <c r="HH5" s="3900" t="s">
        <v>21</v>
      </c>
      <c r="HI5" s="3900" t="s">
        <v>22</v>
      </c>
      <c r="HJ5" s="3900" t="s">
        <v>23</v>
      </c>
      <c r="HK5" s="3900" t="s">
        <v>473</v>
      </c>
      <c r="HL5" s="3900" t="s">
        <v>413</v>
      </c>
      <c r="HM5" s="3900" t="s">
        <v>414</v>
      </c>
      <c r="HN5" s="3900" t="s">
        <v>415</v>
      </c>
      <c r="HO5" s="3900" t="s">
        <v>416</v>
      </c>
      <c r="HP5" s="3900" t="s">
        <v>2107</v>
      </c>
      <c r="HQ5" s="3900" t="s">
        <v>2108</v>
      </c>
      <c r="HR5" s="3900" t="s">
        <v>2109</v>
      </c>
      <c r="HS5" s="3900" t="s">
        <v>1420</v>
      </c>
      <c r="HT5" s="3900" t="s">
        <v>1421</v>
      </c>
      <c r="HU5" s="3900" t="s">
        <v>24</v>
      </c>
      <c r="HV5" s="3900" t="s">
        <v>25</v>
      </c>
      <c r="HW5" s="3900" t="s">
        <v>26</v>
      </c>
      <c r="HX5" s="3900" t="s">
        <v>27</v>
      </c>
      <c r="HY5" s="3900"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00" t="s">
        <v>1559</v>
      </c>
      <c r="LH5" s="3900" t="s">
        <v>2405</v>
      </c>
      <c r="LI5" s="3900" t="s">
        <v>2406</v>
      </c>
      <c r="LJ5" s="3900" t="s">
        <v>368</v>
      </c>
      <c r="LK5" s="3900" t="s">
        <v>369</v>
      </c>
      <c r="LL5" s="3900" t="s">
        <v>370</v>
      </c>
      <c r="LM5" s="3900" t="s">
        <v>371</v>
      </c>
      <c r="LN5" s="3900" t="s">
        <v>372</v>
      </c>
      <c r="LO5" s="3900" t="s">
        <v>373</v>
      </c>
      <c r="LP5" s="3900" t="s">
        <v>374</v>
      </c>
      <c r="LQ5" s="3900" t="s">
        <v>194</v>
      </c>
      <c r="LR5" s="3900" t="s">
        <v>195</v>
      </c>
      <c r="LS5" s="3900" t="s">
        <v>196</v>
      </c>
      <c r="LT5" s="3900" t="s">
        <v>197</v>
      </c>
      <c r="LU5" s="3900" t="s">
        <v>198</v>
      </c>
      <c r="LV5" s="3900" t="s">
        <v>199</v>
      </c>
      <c r="LW5" s="3900" t="s">
        <v>200</v>
      </c>
      <c r="LX5" s="3900" t="s">
        <v>201</v>
      </c>
      <c r="LY5" s="3900" t="s">
        <v>202</v>
      </c>
      <c r="LZ5" s="3900" t="s">
        <v>203</v>
      </c>
      <c r="MA5" s="3900" t="s">
        <v>204</v>
      </c>
      <c r="MB5" s="3900" t="s">
        <v>205</v>
      </c>
      <c r="MC5" s="3900" t="s">
        <v>206</v>
      </c>
      <c r="MD5" s="3900" t="s">
        <v>207</v>
      </c>
      <c r="ME5" s="3900" t="s">
        <v>208</v>
      </c>
      <c r="MF5" s="3900"/>
      <c r="MG5" s="3900"/>
      <c r="MH5" s="3900"/>
      <c r="MI5" s="3900"/>
      <c r="MJ5" s="3900"/>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8" t="str">
        <f>IF(A49&gt;0,"Finish Row!","")</f>
        <v/>
      </c>
      <c r="B6" s="163" t="s">
        <v>6309</v>
      </c>
      <c r="D6" s="1585"/>
      <c r="E6" s="1585"/>
      <c r="F6" s="1585"/>
      <c r="G6" s="2852" t="s">
        <v>193</v>
      </c>
      <c r="H6" s="3832" t="s">
        <v>6311</v>
      </c>
      <c r="I6" s="3833"/>
      <c r="J6" s="3833"/>
      <c r="K6" s="1401" t="s">
        <v>3256</v>
      </c>
      <c r="L6" s="3935" t="str">
        <f>'Part I-Project Information'!$B$7</f>
        <v>2021 Core Application</v>
      </c>
      <c r="M6" s="3935"/>
      <c r="N6" s="3935"/>
      <c r="O6" s="1784" t="s">
        <v>6287</v>
      </c>
      <c r="P6" s="2853">
        <v>50200</v>
      </c>
      <c r="Q6" s="3902"/>
      <c r="R6" s="2652"/>
      <c r="S6" s="93"/>
      <c r="U6" s="93"/>
      <c r="X6" s="3900"/>
      <c r="Y6" s="3900"/>
      <c r="Z6" s="3900"/>
      <c r="AA6" s="3900"/>
      <c r="AB6" s="3900"/>
      <c r="AC6" s="3900"/>
      <c r="AD6" s="3900"/>
      <c r="AE6" s="3900"/>
      <c r="AF6" s="3900"/>
      <c r="AG6" s="3900"/>
      <c r="AH6" s="3900"/>
      <c r="AI6" s="3900"/>
      <c r="AJ6" s="3900"/>
      <c r="AK6" s="3900"/>
      <c r="AL6" s="3900"/>
      <c r="AM6" s="3900"/>
      <c r="AN6" s="3900"/>
      <c r="AO6" s="3900"/>
      <c r="AP6" s="3900"/>
      <c r="AQ6" s="3900"/>
      <c r="AR6" s="3900"/>
      <c r="AS6" s="3900"/>
      <c r="AT6" s="3900"/>
      <c r="AU6" s="3900"/>
      <c r="AV6" s="3900"/>
      <c r="AW6" s="3900"/>
      <c r="AX6" s="3900"/>
      <c r="AY6" s="3900"/>
      <c r="AZ6" s="3900"/>
      <c r="BA6" s="3900"/>
      <c r="BB6" s="3900"/>
      <c r="BC6" s="3900"/>
      <c r="BD6" s="3900"/>
      <c r="BE6" s="3900"/>
      <c r="BF6" s="3900"/>
      <c r="BG6" s="3900"/>
      <c r="BH6" s="3900"/>
      <c r="BI6" s="3900"/>
      <c r="BJ6" s="3900"/>
      <c r="BK6" s="3900"/>
      <c r="BL6" s="3900"/>
      <c r="BM6" s="3900"/>
      <c r="BN6" s="3900"/>
      <c r="BO6" s="3900"/>
      <c r="BP6" s="3900"/>
      <c r="BQ6" s="3900"/>
      <c r="BR6" s="3900"/>
      <c r="BS6" s="3900"/>
      <c r="BT6" s="3900"/>
      <c r="BU6" s="3900"/>
      <c r="BV6" s="3900"/>
      <c r="BW6" s="3900"/>
      <c r="BX6" s="3900"/>
      <c r="BY6" s="3900"/>
      <c r="BZ6" s="3900"/>
      <c r="CA6" s="3900"/>
      <c r="CB6" s="3900"/>
      <c r="CC6" s="3900"/>
      <c r="CD6" s="3900"/>
      <c r="CE6" s="3900"/>
      <c r="CF6" s="3900"/>
      <c r="CG6" s="3900"/>
      <c r="CH6" s="3900"/>
      <c r="CI6" s="3900"/>
      <c r="CJ6" s="3900"/>
      <c r="CK6" s="3900"/>
      <c r="CL6" s="3900"/>
      <c r="CM6" s="3900"/>
      <c r="CN6" s="3900"/>
      <c r="CO6" s="3900"/>
      <c r="CP6" s="3900"/>
      <c r="CQ6" s="3900"/>
      <c r="CR6" s="3900"/>
      <c r="CS6" s="3900"/>
      <c r="CT6" s="3900"/>
      <c r="CU6" s="3900"/>
      <c r="CV6" s="3900"/>
      <c r="CW6" s="3900"/>
      <c r="CX6" s="3900"/>
      <c r="CY6" s="3900"/>
      <c r="CZ6" s="3900"/>
      <c r="DA6" s="3900"/>
      <c r="DB6" s="3900"/>
      <c r="DC6" s="3900"/>
      <c r="DD6" s="3900"/>
      <c r="DE6" s="3900"/>
      <c r="DF6" s="3900"/>
      <c r="DG6" s="3900"/>
      <c r="DH6" s="3900"/>
      <c r="DI6" s="3900"/>
      <c r="DJ6" s="3900"/>
      <c r="DK6" s="3900"/>
      <c r="DL6" s="3900"/>
      <c r="DM6" s="3900"/>
      <c r="DN6" s="3900"/>
      <c r="DO6" s="3900"/>
      <c r="DP6" s="3900"/>
      <c r="DQ6" s="3900"/>
      <c r="DR6" s="3900"/>
      <c r="DS6" s="3900"/>
      <c r="DT6" s="3900"/>
      <c r="DU6" s="3900"/>
      <c r="DV6" s="3900"/>
      <c r="DW6" s="3900"/>
      <c r="DX6" s="3900"/>
      <c r="DY6" s="3900"/>
      <c r="DZ6" s="3900"/>
      <c r="EA6" s="3900"/>
      <c r="EB6" s="3900"/>
      <c r="EC6" s="3900"/>
      <c r="ED6" s="3900"/>
      <c r="EE6" s="3900"/>
      <c r="EF6" s="3900"/>
      <c r="EG6" s="3900"/>
      <c r="EH6" s="3900"/>
      <c r="EI6" s="3900"/>
      <c r="EJ6" s="3900"/>
      <c r="EK6" s="3900"/>
      <c r="EL6" s="3900"/>
      <c r="EM6" s="3900"/>
      <c r="EN6" s="3900"/>
      <c r="EO6" s="3900"/>
      <c r="EP6" s="3900"/>
      <c r="EQ6" s="3900"/>
      <c r="ER6" s="3900"/>
      <c r="ES6" s="3900"/>
      <c r="ET6" s="3900"/>
      <c r="EU6" s="3900"/>
      <c r="EV6" s="3900"/>
      <c r="EW6" s="3900"/>
      <c r="EX6" s="3900"/>
      <c r="EY6" s="3900"/>
      <c r="EZ6" s="3900"/>
      <c r="FA6" s="3900"/>
      <c r="FB6" s="3900"/>
      <c r="FC6" s="3900"/>
      <c r="FD6" s="3900"/>
      <c r="FE6" s="3900"/>
      <c r="FF6" s="3900"/>
      <c r="FG6" s="3900"/>
      <c r="FH6" s="3900"/>
      <c r="FI6" s="3900"/>
      <c r="FJ6" s="3900"/>
      <c r="FK6" s="3900"/>
      <c r="FL6" s="3900"/>
      <c r="FM6" s="3900"/>
      <c r="FN6" s="3900"/>
      <c r="FO6" s="3900"/>
      <c r="FP6" s="3900"/>
      <c r="FQ6" s="3900"/>
      <c r="FR6" s="3900"/>
      <c r="FS6" s="3900"/>
      <c r="FT6" s="3900"/>
      <c r="FU6" s="3900"/>
      <c r="FV6" s="3900"/>
      <c r="FW6" s="3900"/>
      <c r="FX6" s="3900"/>
      <c r="FY6" s="3900"/>
      <c r="FZ6" s="3900"/>
      <c r="GA6" s="3900"/>
      <c r="GB6" s="3900"/>
      <c r="GC6" s="3900"/>
      <c r="GD6" s="3900"/>
      <c r="GE6" s="3900"/>
      <c r="GF6" s="3900"/>
      <c r="GG6" s="3900"/>
      <c r="GH6" s="3900"/>
      <c r="GI6" s="3900"/>
      <c r="GJ6" s="3900"/>
      <c r="GK6" s="3900"/>
      <c r="GL6" s="3900"/>
      <c r="GM6" s="3900"/>
      <c r="GN6" s="3900"/>
      <c r="GO6" s="3900"/>
      <c r="GP6" s="3900"/>
      <c r="GQ6" s="3900"/>
      <c r="GR6" s="3900"/>
      <c r="GS6" s="3900"/>
      <c r="GT6" s="3900"/>
      <c r="GU6" s="3900"/>
      <c r="GV6" s="3900"/>
      <c r="GW6" s="3900"/>
      <c r="GX6" s="3900"/>
      <c r="GY6" s="3900"/>
      <c r="GZ6" s="3900"/>
      <c r="HA6" s="3900"/>
      <c r="HB6" s="3900"/>
      <c r="HC6" s="3900"/>
      <c r="HD6" s="3900"/>
      <c r="HE6" s="3900"/>
      <c r="HF6" s="3900"/>
      <c r="HG6" s="3900"/>
      <c r="HH6" s="3900"/>
      <c r="HI6" s="3900"/>
      <c r="HJ6" s="3900"/>
      <c r="HK6" s="3900"/>
      <c r="HL6" s="3900"/>
      <c r="HM6" s="3900"/>
      <c r="HN6" s="3900"/>
      <c r="HO6" s="3900"/>
      <c r="HP6" s="3900"/>
      <c r="HQ6" s="3900"/>
      <c r="HR6" s="3900"/>
      <c r="HS6" s="3900"/>
      <c r="HT6" s="3900"/>
      <c r="HU6" s="3900"/>
      <c r="HV6" s="3900"/>
      <c r="HW6" s="3900"/>
      <c r="HX6" s="3900"/>
      <c r="HY6" s="3900"/>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00"/>
      <c r="LH6" s="3900"/>
      <c r="LI6" s="3900"/>
      <c r="LJ6" s="3900"/>
      <c r="LK6" s="3900"/>
      <c r="LL6" s="3900"/>
      <c r="LM6" s="3900"/>
      <c r="LN6" s="3900"/>
      <c r="LO6" s="3900"/>
      <c r="LP6" s="3900"/>
      <c r="LQ6" s="3900"/>
      <c r="LR6" s="3900"/>
      <c r="LS6" s="3900"/>
      <c r="LT6" s="3900"/>
      <c r="LU6" s="3900"/>
      <c r="LV6" s="3900"/>
      <c r="LW6" s="3900"/>
      <c r="LX6" s="3900"/>
      <c r="LY6" s="3900"/>
      <c r="LZ6" s="3900"/>
      <c r="MA6" s="3900"/>
      <c r="MB6" s="3900"/>
      <c r="MC6" s="3900"/>
      <c r="MD6" s="3900"/>
      <c r="ME6" s="3900"/>
      <c r="MF6" s="3900"/>
      <c r="MG6" s="3900"/>
      <c r="MH6" s="3900"/>
      <c r="MI6" s="3900"/>
      <c r="MJ6" s="3900"/>
      <c r="MK6" s="3917" t="s">
        <v>3160</v>
      </c>
      <c r="ML6" s="3917" t="s">
        <v>3161</v>
      </c>
      <c r="MM6" s="3917" t="s">
        <v>3162</v>
      </c>
      <c r="MN6" s="3917" t="s">
        <v>3163</v>
      </c>
      <c r="MO6" s="3917" t="s">
        <v>3164</v>
      </c>
      <c r="MP6" s="3900" t="s">
        <v>6586</v>
      </c>
      <c r="MQ6" s="3900" t="s">
        <v>6587</v>
      </c>
      <c r="MR6" s="3900" t="s">
        <v>6588</v>
      </c>
      <c r="MS6" s="3900" t="s">
        <v>6589</v>
      </c>
      <c r="MT6" s="3900" t="s">
        <v>6590</v>
      </c>
      <c r="MU6" s="93"/>
      <c r="MV6" s="93"/>
      <c r="MW6" s="93"/>
      <c r="MX6" s="93"/>
      <c r="MY6" s="93"/>
      <c r="MZ6" s="93"/>
      <c r="NA6" s="93"/>
      <c r="NB6" s="93"/>
      <c r="NC6" s="93"/>
      <c r="ND6" s="93"/>
      <c r="NE6" s="93"/>
      <c r="NF6" s="93"/>
      <c r="NG6" s="93"/>
      <c r="NH6" s="93"/>
      <c r="NI6" s="93"/>
      <c r="NJ6" s="93"/>
      <c r="NK6" s="93"/>
      <c r="NL6" s="93"/>
      <c r="NM6" s="93"/>
      <c r="NN6" s="93"/>
      <c r="NO6" s="93"/>
      <c r="NP6" s="285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8"/>
      <c r="B7" s="29" t="s">
        <v>6310</v>
      </c>
      <c r="E7" s="4"/>
      <c r="G7" s="2854" t="s">
        <v>2772</v>
      </c>
      <c r="I7" s="3923" t="s">
        <v>4278</v>
      </c>
      <c r="J7" s="1401" t="s">
        <v>765</v>
      </c>
      <c r="K7" s="1401" t="s">
        <v>3306</v>
      </c>
      <c r="L7" s="3935"/>
      <c r="M7" s="3935"/>
      <c r="N7" s="3935"/>
      <c r="O7" s="1785" t="s">
        <v>6286</v>
      </c>
      <c r="P7" s="2855">
        <v>43922</v>
      </c>
      <c r="Q7" s="3902"/>
      <c r="R7" s="3914" t="s">
        <v>2547</v>
      </c>
      <c r="S7" s="3914"/>
      <c r="X7" s="3900"/>
      <c r="Y7" s="3900"/>
      <c r="Z7" s="3900"/>
      <c r="AA7" s="3900"/>
      <c r="AB7" s="3900"/>
      <c r="AC7" s="3900"/>
      <c r="AD7" s="3900"/>
      <c r="AE7" s="3900"/>
      <c r="AF7" s="3900"/>
      <c r="AG7" s="3900"/>
      <c r="AH7" s="3900"/>
      <c r="AI7" s="3900"/>
      <c r="AJ7" s="3900"/>
      <c r="AK7" s="3900"/>
      <c r="AL7" s="3900"/>
      <c r="AM7" s="3900"/>
      <c r="AN7" s="3900"/>
      <c r="AO7" s="3900"/>
      <c r="AP7" s="3900"/>
      <c r="AQ7" s="3900"/>
      <c r="AR7" s="3900"/>
      <c r="AS7" s="3900"/>
      <c r="AT7" s="3900"/>
      <c r="AU7" s="3900"/>
      <c r="AV7" s="3900"/>
      <c r="AW7" s="3900"/>
      <c r="AX7" s="3900"/>
      <c r="AY7" s="3900"/>
      <c r="AZ7" s="3900"/>
      <c r="BA7" s="3900"/>
      <c r="BB7" s="3900"/>
      <c r="BC7" s="3900"/>
      <c r="BD7" s="3900"/>
      <c r="BE7" s="3900"/>
      <c r="BF7" s="3900"/>
      <c r="BG7" s="3900"/>
      <c r="BH7" s="3900"/>
      <c r="BI7" s="3900"/>
      <c r="BJ7" s="3900"/>
      <c r="BK7" s="3900"/>
      <c r="BL7" s="3900"/>
      <c r="BM7" s="3900"/>
      <c r="BN7" s="3900"/>
      <c r="BO7" s="3900"/>
      <c r="BP7" s="3900"/>
      <c r="BQ7" s="3900"/>
      <c r="BR7" s="3900"/>
      <c r="BS7" s="3900"/>
      <c r="BT7" s="3900"/>
      <c r="BU7" s="3900"/>
      <c r="BV7" s="3900"/>
      <c r="BW7" s="3900"/>
      <c r="BX7" s="3900"/>
      <c r="BY7" s="3900"/>
      <c r="BZ7" s="3900"/>
      <c r="CA7" s="3900"/>
      <c r="CB7" s="3900"/>
      <c r="CC7" s="3900"/>
      <c r="CD7" s="3900"/>
      <c r="CE7" s="3900"/>
      <c r="CF7" s="3900"/>
      <c r="CG7" s="3900"/>
      <c r="CH7" s="3900"/>
      <c r="CI7" s="3900"/>
      <c r="CJ7" s="3900"/>
      <c r="CK7" s="3900"/>
      <c r="CL7" s="3900"/>
      <c r="CM7" s="3900"/>
      <c r="CN7" s="3900"/>
      <c r="CO7" s="3900"/>
      <c r="CP7" s="3900"/>
      <c r="CQ7" s="3900"/>
      <c r="CR7" s="3900"/>
      <c r="CS7" s="3900"/>
      <c r="CT7" s="3900"/>
      <c r="CU7" s="3900"/>
      <c r="CV7" s="3900"/>
      <c r="CW7" s="3900"/>
      <c r="CX7" s="3900"/>
      <c r="CY7" s="3900"/>
      <c r="CZ7" s="3900"/>
      <c r="DA7" s="3900"/>
      <c r="DB7" s="3900"/>
      <c r="DC7" s="3900"/>
      <c r="DD7" s="3900"/>
      <c r="DE7" s="3900"/>
      <c r="DF7" s="3900"/>
      <c r="DG7" s="3900"/>
      <c r="DH7" s="3900"/>
      <c r="DI7" s="3900"/>
      <c r="DJ7" s="3900"/>
      <c r="DK7" s="3900"/>
      <c r="DL7" s="3900"/>
      <c r="DM7" s="3900"/>
      <c r="DN7" s="3900"/>
      <c r="DO7" s="3900"/>
      <c r="DP7" s="3900"/>
      <c r="DQ7" s="3900"/>
      <c r="DR7" s="3900"/>
      <c r="DS7" s="3900"/>
      <c r="DT7" s="3900"/>
      <c r="DU7" s="3900"/>
      <c r="DV7" s="3900"/>
      <c r="DW7" s="3900"/>
      <c r="DX7" s="3900"/>
      <c r="DY7" s="3900"/>
      <c r="DZ7" s="3900"/>
      <c r="EA7" s="3900"/>
      <c r="EB7" s="3900"/>
      <c r="EC7" s="3900"/>
      <c r="ED7" s="3900"/>
      <c r="EE7" s="3900"/>
      <c r="EF7" s="3900"/>
      <c r="EG7" s="3900"/>
      <c r="EH7" s="3900"/>
      <c r="EI7" s="3900"/>
      <c r="EJ7" s="3900"/>
      <c r="EK7" s="3900"/>
      <c r="EL7" s="3900"/>
      <c r="EM7" s="3900"/>
      <c r="EN7" s="3900"/>
      <c r="EO7" s="3900"/>
      <c r="EP7" s="3900"/>
      <c r="EQ7" s="3900"/>
      <c r="ER7" s="3900"/>
      <c r="ES7" s="3900"/>
      <c r="ET7" s="3900"/>
      <c r="EU7" s="3900"/>
      <c r="EV7" s="3900"/>
      <c r="EW7" s="3900"/>
      <c r="EX7" s="3900"/>
      <c r="EY7" s="3900"/>
      <c r="EZ7" s="3900"/>
      <c r="FA7" s="3900"/>
      <c r="FB7" s="3900"/>
      <c r="FC7" s="3900"/>
      <c r="FD7" s="3900"/>
      <c r="FE7" s="3900"/>
      <c r="FF7" s="3900"/>
      <c r="FG7" s="3900"/>
      <c r="FH7" s="3900"/>
      <c r="FI7" s="3900"/>
      <c r="FJ7" s="3900"/>
      <c r="FK7" s="3900"/>
      <c r="FL7" s="3900"/>
      <c r="FM7" s="3900"/>
      <c r="FN7" s="3900"/>
      <c r="FO7" s="3900"/>
      <c r="FP7" s="3900"/>
      <c r="FQ7" s="3900"/>
      <c r="FR7" s="3900"/>
      <c r="FS7" s="3900"/>
      <c r="FT7" s="3900"/>
      <c r="FU7" s="3900"/>
      <c r="FV7" s="3900"/>
      <c r="FW7" s="3900"/>
      <c r="FX7" s="3900"/>
      <c r="FY7" s="3900"/>
      <c r="FZ7" s="3900"/>
      <c r="GA7" s="3900"/>
      <c r="GB7" s="3900"/>
      <c r="GC7" s="3900"/>
      <c r="GD7" s="3900"/>
      <c r="GE7" s="3900"/>
      <c r="GF7" s="3900"/>
      <c r="GG7" s="3900"/>
      <c r="GH7" s="3900"/>
      <c r="GI7" s="3900"/>
      <c r="GJ7" s="3900"/>
      <c r="GK7" s="3900"/>
      <c r="GL7" s="3900"/>
      <c r="GM7" s="3900"/>
      <c r="GN7" s="3900"/>
      <c r="GO7" s="3900"/>
      <c r="GP7" s="3900"/>
      <c r="GQ7" s="3900"/>
      <c r="GR7" s="3900"/>
      <c r="GS7" s="3900"/>
      <c r="GT7" s="3900"/>
      <c r="GU7" s="3900"/>
      <c r="GV7" s="3900"/>
      <c r="GW7" s="3900"/>
      <c r="GX7" s="3900"/>
      <c r="GY7" s="3900"/>
      <c r="GZ7" s="3900"/>
      <c r="HA7" s="3900"/>
      <c r="HB7" s="3900"/>
      <c r="HC7" s="3900"/>
      <c r="HD7" s="3900"/>
      <c r="HE7" s="3900"/>
      <c r="HF7" s="3900"/>
      <c r="HG7" s="3900"/>
      <c r="HH7" s="3900"/>
      <c r="HI7" s="3900"/>
      <c r="HJ7" s="3900"/>
      <c r="HK7" s="3900"/>
      <c r="HL7" s="3900"/>
      <c r="HM7" s="3900"/>
      <c r="HN7" s="3900"/>
      <c r="HO7" s="3900"/>
      <c r="HP7" s="3900"/>
      <c r="HQ7" s="3900"/>
      <c r="HR7" s="3900"/>
      <c r="HS7" s="3900"/>
      <c r="HT7" s="3900"/>
      <c r="HU7" s="3900"/>
      <c r="HV7" s="3900"/>
      <c r="HW7" s="3900"/>
      <c r="HX7" s="3900"/>
      <c r="HY7" s="3900"/>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00"/>
      <c r="LH7" s="3900"/>
      <c r="LI7" s="3900"/>
      <c r="LJ7" s="3900"/>
      <c r="LK7" s="3900"/>
      <c r="LL7" s="3900"/>
      <c r="LM7" s="3900"/>
      <c r="LN7" s="3900"/>
      <c r="LO7" s="3900"/>
      <c r="LP7" s="3900"/>
      <c r="LQ7" s="3900"/>
      <c r="LR7" s="3900"/>
      <c r="LS7" s="3900"/>
      <c r="LT7" s="3900"/>
      <c r="LU7" s="3900"/>
      <c r="LV7" s="3900"/>
      <c r="LW7" s="3900"/>
      <c r="LX7" s="3900"/>
      <c r="LY7" s="3900"/>
      <c r="LZ7" s="3900"/>
      <c r="MA7" s="3900"/>
      <c r="MB7" s="3900"/>
      <c r="MC7" s="3900"/>
      <c r="MD7" s="3900"/>
      <c r="ME7" s="3900"/>
      <c r="MF7" s="3900"/>
      <c r="MG7" s="3900"/>
      <c r="MH7" s="3900"/>
      <c r="MI7" s="3900"/>
      <c r="MJ7" s="3900"/>
      <c r="MK7" s="3917"/>
      <c r="ML7" s="3917"/>
      <c r="MM7" s="3917"/>
      <c r="MN7" s="3917"/>
      <c r="MO7" s="3917"/>
      <c r="MP7" s="3900"/>
      <c r="MQ7" s="3900"/>
      <c r="MR7" s="3900"/>
      <c r="MS7" s="3900"/>
      <c r="MT7" s="3900"/>
      <c r="MU7" s="93"/>
      <c r="MV7" s="93"/>
      <c r="MW7" s="93"/>
      <c r="MX7" s="93"/>
      <c r="MY7" s="93"/>
      <c r="MZ7" s="93"/>
      <c r="NA7" s="93"/>
      <c r="NB7" s="93"/>
      <c r="NC7" s="93"/>
      <c r="ND7" s="93"/>
      <c r="NE7" s="93"/>
      <c r="NF7" s="93"/>
      <c r="NG7" s="93"/>
      <c r="NH7" s="93"/>
      <c r="NI7" s="93"/>
      <c r="NJ7" s="93"/>
      <c r="NK7" s="93"/>
      <c r="NL7" s="93"/>
      <c r="NM7" s="93"/>
      <c r="NN7" s="93"/>
      <c r="NO7" s="93"/>
      <c r="NP7" s="285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8"/>
      <c r="B8" s="2648" t="s">
        <v>3917</v>
      </c>
      <c r="C8" s="1"/>
      <c r="E8" s="1"/>
      <c r="F8" s="1"/>
      <c r="I8" s="3923"/>
      <c r="J8" s="1401" t="s">
        <v>766</v>
      </c>
      <c r="K8" s="1401" t="s">
        <v>3307</v>
      </c>
      <c r="L8" s="762"/>
      <c r="M8" s="762"/>
      <c r="N8" s="1783" t="s">
        <v>6808</v>
      </c>
      <c r="O8" s="3925" t="s">
        <v>6920</v>
      </c>
      <c r="P8" s="3926"/>
      <c r="Q8" s="3902"/>
      <c r="R8" s="763"/>
      <c r="S8" s="767" t="s">
        <v>2544</v>
      </c>
      <c r="T8" s="405"/>
      <c r="W8" s="406"/>
      <c r="X8" s="3900"/>
      <c r="Y8" s="3900"/>
      <c r="Z8" s="3900"/>
      <c r="AA8" s="3900"/>
      <c r="AB8" s="3900"/>
      <c r="AC8" s="3900"/>
      <c r="AD8" s="3900"/>
      <c r="AE8" s="3900"/>
      <c r="AF8" s="3900"/>
      <c r="AG8" s="3900"/>
      <c r="AH8" s="3900"/>
      <c r="AI8" s="3900"/>
      <c r="AJ8" s="3900"/>
      <c r="AK8" s="3900"/>
      <c r="AL8" s="3900"/>
      <c r="AM8" s="3900"/>
      <c r="AN8" s="3900"/>
      <c r="AO8" s="3900"/>
      <c r="AP8" s="3900"/>
      <c r="AQ8" s="3900"/>
      <c r="AR8" s="3900"/>
      <c r="AS8" s="3900"/>
      <c r="AT8" s="3900"/>
      <c r="AU8" s="3900"/>
      <c r="AV8" s="3900"/>
      <c r="AW8" s="3900"/>
      <c r="AX8" s="3900"/>
      <c r="AY8" s="3900"/>
      <c r="AZ8" s="3900"/>
      <c r="BA8" s="3900"/>
      <c r="BB8" s="3900"/>
      <c r="BC8" s="3900"/>
      <c r="BD8" s="3900"/>
      <c r="BE8" s="3900"/>
      <c r="BF8" s="3900"/>
      <c r="BG8" s="3900"/>
      <c r="BH8" s="3900"/>
      <c r="BI8" s="3900"/>
      <c r="BJ8" s="3900"/>
      <c r="BK8" s="3900"/>
      <c r="BL8" s="3900"/>
      <c r="BM8" s="3900"/>
      <c r="BN8" s="3900"/>
      <c r="BO8" s="3900"/>
      <c r="BP8" s="3900"/>
      <c r="BQ8" s="3900"/>
      <c r="BR8" s="3900"/>
      <c r="BS8" s="3900"/>
      <c r="BT8" s="3900"/>
      <c r="BU8" s="3900"/>
      <c r="BV8" s="3900"/>
      <c r="BW8" s="3900"/>
      <c r="BX8" s="3900"/>
      <c r="BY8" s="3900"/>
      <c r="BZ8" s="3900"/>
      <c r="CA8" s="3900"/>
      <c r="CB8" s="3900"/>
      <c r="CC8" s="3900"/>
      <c r="CD8" s="3900"/>
      <c r="CE8" s="3900"/>
      <c r="CF8" s="3900"/>
      <c r="CG8" s="3900"/>
      <c r="CH8" s="3900"/>
      <c r="CI8" s="3900"/>
      <c r="CJ8" s="3900"/>
      <c r="CK8" s="3900"/>
      <c r="CL8" s="3900"/>
      <c r="CM8" s="3900"/>
      <c r="CN8" s="3900"/>
      <c r="CO8" s="3900"/>
      <c r="CP8" s="3900"/>
      <c r="CQ8" s="3900"/>
      <c r="CR8" s="3900"/>
      <c r="CS8" s="3900"/>
      <c r="CT8" s="3900"/>
      <c r="CU8" s="3900"/>
      <c r="CV8" s="3900"/>
      <c r="CW8" s="3900"/>
      <c r="CX8" s="3900"/>
      <c r="CY8" s="3900"/>
      <c r="CZ8" s="3900"/>
      <c r="DA8" s="3900"/>
      <c r="DB8" s="3900"/>
      <c r="DC8" s="3900"/>
      <c r="DD8" s="3900"/>
      <c r="DE8" s="3900"/>
      <c r="DF8" s="3900"/>
      <c r="DG8" s="3900"/>
      <c r="DH8" s="3900"/>
      <c r="DI8" s="3900"/>
      <c r="DJ8" s="3900"/>
      <c r="DK8" s="3900"/>
      <c r="DL8" s="3900"/>
      <c r="DM8" s="3900"/>
      <c r="DN8" s="3900"/>
      <c r="DO8" s="3900"/>
      <c r="DP8" s="3900"/>
      <c r="DQ8" s="3900"/>
      <c r="DR8" s="3900"/>
      <c r="DS8" s="3900"/>
      <c r="DT8" s="3900"/>
      <c r="DU8" s="3900"/>
      <c r="DV8" s="3900"/>
      <c r="DW8" s="3900"/>
      <c r="DX8" s="3900"/>
      <c r="DY8" s="3900"/>
      <c r="DZ8" s="3900"/>
      <c r="EA8" s="3900"/>
      <c r="EB8" s="3900"/>
      <c r="EC8" s="3900"/>
      <c r="ED8" s="3900"/>
      <c r="EE8" s="3900"/>
      <c r="EF8" s="3900"/>
      <c r="EG8" s="3900"/>
      <c r="EH8" s="3900"/>
      <c r="EI8" s="3900"/>
      <c r="EJ8" s="3900"/>
      <c r="EK8" s="3900"/>
      <c r="EL8" s="3900"/>
      <c r="EM8" s="3900"/>
      <c r="EN8" s="3900"/>
      <c r="EO8" s="3900"/>
      <c r="EP8" s="3900"/>
      <c r="EQ8" s="3900"/>
      <c r="ER8" s="3900"/>
      <c r="ES8" s="3900"/>
      <c r="ET8" s="3900"/>
      <c r="EU8" s="3900"/>
      <c r="EV8" s="3900"/>
      <c r="EW8" s="3900"/>
      <c r="EX8" s="3900"/>
      <c r="EY8" s="3900"/>
      <c r="EZ8" s="3900"/>
      <c r="FA8" s="3900"/>
      <c r="FB8" s="3900"/>
      <c r="FC8" s="3900"/>
      <c r="FD8" s="3900"/>
      <c r="FE8" s="3900"/>
      <c r="FF8" s="3900"/>
      <c r="FG8" s="3900"/>
      <c r="FH8" s="3900"/>
      <c r="FI8" s="3900"/>
      <c r="FJ8" s="3900"/>
      <c r="FK8" s="3900"/>
      <c r="FL8" s="3900"/>
      <c r="FM8" s="3900"/>
      <c r="FN8" s="3900"/>
      <c r="FO8" s="3900"/>
      <c r="FP8" s="3900"/>
      <c r="FQ8" s="3900"/>
      <c r="FR8" s="3900"/>
      <c r="FS8" s="3900"/>
      <c r="FT8" s="3900"/>
      <c r="FU8" s="3900"/>
      <c r="FV8" s="3900"/>
      <c r="FW8" s="3900"/>
      <c r="FX8" s="3900"/>
      <c r="FY8" s="3900"/>
      <c r="FZ8" s="3900"/>
      <c r="GA8" s="3900"/>
      <c r="GB8" s="3900"/>
      <c r="GC8" s="3900"/>
      <c r="GD8" s="3900"/>
      <c r="GE8" s="3900"/>
      <c r="GF8" s="3900"/>
      <c r="GG8" s="3900"/>
      <c r="GH8" s="3900"/>
      <c r="GI8" s="3900"/>
      <c r="GJ8" s="3900"/>
      <c r="GK8" s="3900"/>
      <c r="GL8" s="3900"/>
      <c r="GM8" s="3900"/>
      <c r="GN8" s="3900"/>
      <c r="GO8" s="3900"/>
      <c r="GP8" s="3900"/>
      <c r="GQ8" s="3900"/>
      <c r="GR8" s="3900"/>
      <c r="GS8" s="3900"/>
      <c r="GT8" s="3900"/>
      <c r="GU8" s="3900"/>
      <c r="GV8" s="3900"/>
      <c r="GW8" s="3900"/>
      <c r="GX8" s="3900"/>
      <c r="GY8" s="3900"/>
      <c r="GZ8" s="3900"/>
      <c r="HA8" s="3900"/>
      <c r="HB8" s="3900"/>
      <c r="HC8" s="3900"/>
      <c r="HD8" s="3900"/>
      <c r="HE8" s="3900"/>
      <c r="HF8" s="3900"/>
      <c r="HG8" s="3900"/>
      <c r="HH8" s="3900"/>
      <c r="HI8" s="3900"/>
      <c r="HJ8" s="3900"/>
      <c r="HK8" s="3900"/>
      <c r="HL8" s="3900"/>
      <c r="HM8" s="3900"/>
      <c r="HN8" s="3900"/>
      <c r="HO8" s="3900"/>
      <c r="HP8" s="3900"/>
      <c r="HQ8" s="3900"/>
      <c r="HR8" s="3900"/>
      <c r="HS8" s="3900"/>
      <c r="HT8" s="3900"/>
      <c r="HU8" s="3900"/>
      <c r="HV8" s="3900"/>
      <c r="HW8" s="3900"/>
      <c r="HX8" s="3900"/>
      <c r="HY8" s="3900"/>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900"/>
      <c r="LH8" s="3900"/>
      <c r="LI8" s="3900"/>
      <c r="LJ8" s="3900"/>
      <c r="LK8" s="3900"/>
      <c r="LL8" s="3900"/>
      <c r="LM8" s="3900"/>
      <c r="LN8" s="3900"/>
      <c r="LO8" s="3900"/>
      <c r="LP8" s="3900"/>
      <c r="LQ8" s="3900"/>
      <c r="LR8" s="3900"/>
      <c r="LS8" s="3900"/>
      <c r="LT8" s="3900"/>
      <c r="LU8" s="3900"/>
      <c r="LV8" s="3900"/>
      <c r="LW8" s="3900"/>
      <c r="LX8" s="3900"/>
      <c r="LY8" s="3900"/>
      <c r="LZ8" s="3900"/>
      <c r="MA8" s="3900"/>
      <c r="MB8" s="3900"/>
      <c r="MC8" s="3900"/>
      <c r="MD8" s="3900"/>
      <c r="ME8" s="3900"/>
      <c r="MF8" s="3900"/>
      <c r="MG8" s="3900"/>
      <c r="MH8" s="3900"/>
      <c r="MI8" s="3900"/>
      <c r="MJ8" s="3900"/>
      <c r="MK8" s="3917"/>
      <c r="ML8" s="3917"/>
      <c r="MM8" s="3917"/>
      <c r="MN8" s="3917"/>
      <c r="MO8" s="3917"/>
      <c r="MP8" s="3900"/>
      <c r="MQ8" s="3900"/>
      <c r="MR8" s="3900"/>
      <c r="MS8" s="3900"/>
      <c r="MT8" s="3900"/>
      <c r="MU8" s="93"/>
      <c r="MV8" s="93"/>
      <c r="MW8" s="93"/>
      <c r="MX8" s="93"/>
      <c r="MY8" s="93"/>
      <c r="MZ8" s="93"/>
      <c r="NA8" s="93"/>
      <c r="NB8" s="93"/>
      <c r="NC8" s="93"/>
      <c r="ND8" s="93"/>
      <c r="NE8" s="93"/>
      <c r="NF8" s="93"/>
      <c r="NG8" s="93"/>
      <c r="NH8" s="93"/>
      <c r="NI8" s="93"/>
      <c r="NJ8" s="93"/>
      <c r="NK8" s="93"/>
      <c r="NL8" s="93"/>
      <c r="NM8" s="93"/>
      <c r="NN8" s="93"/>
      <c r="NO8" s="93"/>
      <c r="NP8" s="285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8"/>
      <c r="B9" s="1190" t="s">
        <v>3918</v>
      </c>
      <c r="C9" s="1401" t="s">
        <v>164</v>
      </c>
      <c r="D9" s="1401" t="s">
        <v>519</v>
      </c>
      <c r="E9" s="1401" t="s">
        <v>1417</v>
      </c>
      <c r="F9" s="1401" t="s">
        <v>1417</v>
      </c>
      <c r="G9" s="3923" t="s">
        <v>6306</v>
      </c>
      <c r="H9" s="2652" t="s">
        <v>3441</v>
      </c>
      <c r="I9" s="3923"/>
      <c r="J9" s="3919" t="s">
        <v>6297</v>
      </c>
      <c r="K9" s="1401" t="s">
        <v>2296</v>
      </c>
      <c r="L9" s="3915" t="s">
        <v>138</v>
      </c>
      <c r="M9" s="3916"/>
      <c r="N9" s="1401" t="s">
        <v>2262</v>
      </c>
      <c r="O9" s="1401" t="s">
        <v>6811</v>
      </c>
      <c r="P9" s="3921" t="s">
        <v>6533</v>
      </c>
      <c r="Q9" s="3902"/>
      <c r="R9" s="1401" t="s">
        <v>2543</v>
      </c>
      <c r="S9" s="1401" t="s">
        <v>2545</v>
      </c>
      <c r="T9" s="407"/>
      <c r="W9" s="408"/>
      <c r="X9" s="3900"/>
      <c r="Y9" s="3900"/>
      <c r="Z9" s="3900"/>
      <c r="AA9" s="3900"/>
      <c r="AB9" s="3900"/>
      <c r="AC9" s="3900"/>
      <c r="AD9" s="3900"/>
      <c r="AE9" s="3900"/>
      <c r="AF9" s="3900"/>
      <c r="AG9" s="3900"/>
      <c r="AH9" s="3900"/>
      <c r="AI9" s="3900"/>
      <c r="AJ9" s="3900"/>
      <c r="AK9" s="3900"/>
      <c r="AL9" s="3900"/>
      <c r="AM9" s="3900"/>
      <c r="AN9" s="3900"/>
      <c r="AO9" s="3900"/>
      <c r="AP9" s="3900"/>
      <c r="AQ9" s="3900"/>
      <c r="AR9" s="3900"/>
      <c r="AS9" s="3900"/>
      <c r="AT9" s="3900"/>
      <c r="AU9" s="3900"/>
      <c r="AV9" s="3900"/>
      <c r="AW9" s="3900"/>
      <c r="AX9" s="3900"/>
      <c r="AY9" s="3900"/>
      <c r="AZ9" s="3900"/>
      <c r="BA9" s="3900"/>
      <c r="BB9" s="3900"/>
      <c r="BC9" s="3900"/>
      <c r="BD9" s="3900"/>
      <c r="BE9" s="3900"/>
      <c r="BF9" s="3900"/>
      <c r="BG9" s="3900"/>
      <c r="BH9" s="3900"/>
      <c r="BI9" s="3900"/>
      <c r="BJ9" s="3900"/>
      <c r="BK9" s="3900"/>
      <c r="BL9" s="3900"/>
      <c r="BM9" s="3900"/>
      <c r="BN9" s="3900"/>
      <c r="BO9" s="3900"/>
      <c r="BP9" s="3900"/>
      <c r="BQ9" s="3900"/>
      <c r="BR9" s="3900"/>
      <c r="BS9" s="3900"/>
      <c r="BT9" s="3900"/>
      <c r="BU9" s="3900"/>
      <c r="BV9" s="3900"/>
      <c r="BW9" s="3900"/>
      <c r="BX9" s="3900"/>
      <c r="BY9" s="3900"/>
      <c r="BZ9" s="3900"/>
      <c r="CA9" s="3900"/>
      <c r="CB9" s="3900"/>
      <c r="CC9" s="3900"/>
      <c r="CD9" s="3900"/>
      <c r="CE9" s="3900"/>
      <c r="CF9" s="3900"/>
      <c r="CG9" s="3900"/>
      <c r="CH9" s="3900"/>
      <c r="CI9" s="3900"/>
      <c r="CJ9" s="3900"/>
      <c r="CK9" s="3900"/>
      <c r="CL9" s="3900"/>
      <c r="CM9" s="3900"/>
      <c r="CN9" s="3900"/>
      <c r="CO9" s="3900"/>
      <c r="CP9" s="3900"/>
      <c r="CQ9" s="3900"/>
      <c r="CR9" s="3900"/>
      <c r="CS9" s="3900"/>
      <c r="CT9" s="3900"/>
      <c r="CU9" s="3900"/>
      <c r="CV9" s="3900"/>
      <c r="CW9" s="3900"/>
      <c r="CX9" s="3900"/>
      <c r="CY9" s="3900"/>
      <c r="CZ9" s="3900"/>
      <c r="DA9" s="3900"/>
      <c r="DB9" s="3900"/>
      <c r="DC9" s="3900"/>
      <c r="DD9" s="3900"/>
      <c r="DE9" s="3900"/>
      <c r="DF9" s="3900"/>
      <c r="DG9" s="3900"/>
      <c r="DH9" s="3900"/>
      <c r="DI9" s="3900"/>
      <c r="DJ9" s="3900"/>
      <c r="DK9" s="3900"/>
      <c r="DL9" s="3900"/>
      <c r="DM9" s="3900"/>
      <c r="DN9" s="3900"/>
      <c r="DO9" s="3900"/>
      <c r="DP9" s="3900"/>
      <c r="DQ9" s="3900"/>
      <c r="DR9" s="3900"/>
      <c r="DS9" s="3900"/>
      <c r="DT9" s="3900"/>
      <c r="DU9" s="3900"/>
      <c r="DV9" s="3900"/>
      <c r="DW9" s="3900"/>
      <c r="DX9" s="3900"/>
      <c r="DY9" s="3900"/>
      <c r="DZ9" s="3900"/>
      <c r="EA9" s="3900"/>
      <c r="EB9" s="3900"/>
      <c r="EC9" s="3900"/>
      <c r="ED9" s="3900"/>
      <c r="EE9" s="3900"/>
      <c r="EF9" s="3900"/>
      <c r="EG9" s="3900"/>
      <c r="EH9" s="3900"/>
      <c r="EI9" s="3900"/>
      <c r="EJ9" s="3900"/>
      <c r="EK9" s="3900"/>
      <c r="EL9" s="3900"/>
      <c r="EM9" s="3900"/>
      <c r="EN9" s="3900"/>
      <c r="EO9" s="3900"/>
      <c r="EP9" s="3900"/>
      <c r="EQ9" s="3900"/>
      <c r="ER9" s="3900"/>
      <c r="ES9" s="3900"/>
      <c r="ET9" s="3900"/>
      <c r="EU9" s="3900"/>
      <c r="EV9" s="3900"/>
      <c r="EW9" s="3900"/>
      <c r="EX9" s="3900"/>
      <c r="EY9" s="3900"/>
      <c r="EZ9" s="3900"/>
      <c r="FA9" s="3900"/>
      <c r="FB9" s="3900"/>
      <c r="FC9" s="3900"/>
      <c r="FD9" s="3900"/>
      <c r="FE9" s="3900"/>
      <c r="FF9" s="3900"/>
      <c r="FG9" s="3900"/>
      <c r="FH9" s="3900"/>
      <c r="FI9" s="3900"/>
      <c r="FJ9" s="3900"/>
      <c r="FK9" s="3900"/>
      <c r="FL9" s="3900"/>
      <c r="FM9" s="3900"/>
      <c r="FN9" s="3900"/>
      <c r="FO9" s="3900"/>
      <c r="FP9" s="3900"/>
      <c r="FQ9" s="3900"/>
      <c r="FR9" s="3900"/>
      <c r="FS9" s="3900"/>
      <c r="FT9" s="3900"/>
      <c r="FU9" s="3900"/>
      <c r="FV9" s="3900"/>
      <c r="FW9" s="3900"/>
      <c r="FX9" s="3900"/>
      <c r="FY9" s="3900"/>
      <c r="FZ9" s="3900"/>
      <c r="GA9" s="3900"/>
      <c r="GB9" s="3900"/>
      <c r="GC9" s="3900"/>
      <c r="GD9" s="3900"/>
      <c r="GE9" s="3900"/>
      <c r="GF9" s="3900"/>
      <c r="GG9" s="3900"/>
      <c r="GH9" s="3900"/>
      <c r="GI9" s="3900"/>
      <c r="GJ9" s="3900"/>
      <c r="GK9" s="3900"/>
      <c r="GL9" s="3900"/>
      <c r="GM9" s="3900"/>
      <c r="GN9" s="3900"/>
      <c r="GO9" s="3900"/>
      <c r="GP9" s="3900"/>
      <c r="GQ9" s="3900"/>
      <c r="GR9" s="3900"/>
      <c r="GS9" s="3900"/>
      <c r="GT9" s="3900"/>
      <c r="GU9" s="3900"/>
      <c r="GV9" s="3900"/>
      <c r="GW9" s="3900"/>
      <c r="GX9" s="3900"/>
      <c r="GY9" s="3900"/>
      <c r="GZ9" s="3900"/>
      <c r="HA9" s="3900"/>
      <c r="HB9" s="3900"/>
      <c r="HC9" s="3900"/>
      <c r="HD9" s="3900"/>
      <c r="HE9" s="3900"/>
      <c r="HF9" s="3900"/>
      <c r="HG9" s="3900"/>
      <c r="HH9" s="3900"/>
      <c r="HI9" s="3900"/>
      <c r="HJ9" s="3900"/>
      <c r="HK9" s="3900"/>
      <c r="HL9" s="3900"/>
      <c r="HM9" s="3900"/>
      <c r="HN9" s="3900"/>
      <c r="HO9" s="3900"/>
      <c r="HP9" s="3900"/>
      <c r="HQ9" s="3900"/>
      <c r="HR9" s="3900"/>
      <c r="HS9" s="3900"/>
      <c r="HT9" s="3900"/>
      <c r="HU9" s="3900"/>
      <c r="HV9" s="3900"/>
      <c r="HW9" s="3900"/>
      <c r="HX9" s="3900"/>
      <c r="HY9" s="3900"/>
      <c r="HZ9" s="3900" t="s">
        <v>1405</v>
      </c>
      <c r="IA9" s="1812" t="s">
        <v>2329</v>
      </c>
      <c r="IB9" s="1812" t="s">
        <v>2330</v>
      </c>
      <c r="IC9" s="1812" t="s">
        <v>2331</v>
      </c>
      <c r="ID9" s="1812" t="s">
        <v>2332</v>
      </c>
      <c r="IE9" s="3900" t="s">
        <v>2383</v>
      </c>
      <c r="IF9" s="3900" t="s">
        <v>2383</v>
      </c>
      <c r="IG9" s="3900" t="s">
        <v>2383</v>
      </c>
      <c r="IH9" s="3900" t="s">
        <v>2383</v>
      </c>
      <c r="II9" s="3900" t="s">
        <v>2383</v>
      </c>
      <c r="IJ9" s="3900" t="s">
        <v>3120</v>
      </c>
      <c r="IK9" s="3900" t="s">
        <v>3120</v>
      </c>
      <c r="IL9" s="3900" t="s">
        <v>3120</v>
      </c>
      <c r="IM9" s="3900" t="s">
        <v>3120</v>
      </c>
      <c r="IN9" s="3900" t="s">
        <v>3120</v>
      </c>
      <c r="IO9" s="1812" t="s">
        <v>539</v>
      </c>
      <c r="IP9" s="1812" t="s">
        <v>2329</v>
      </c>
      <c r="IQ9" s="1812" t="s">
        <v>2330</v>
      </c>
      <c r="IR9" s="1812" t="s">
        <v>2331</v>
      </c>
      <c r="IS9" s="1812" t="s">
        <v>2332</v>
      </c>
      <c r="IT9" s="1812" t="s">
        <v>539</v>
      </c>
      <c r="IU9" s="1812" t="s">
        <v>2329</v>
      </c>
      <c r="IV9" s="1812" t="s">
        <v>2330</v>
      </c>
      <c r="IW9" s="1812" t="s">
        <v>2331</v>
      </c>
      <c r="IX9" s="1812" t="s">
        <v>2332</v>
      </c>
      <c r="IY9" s="3900" t="s">
        <v>6591</v>
      </c>
      <c r="IZ9" s="3900" t="s">
        <v>6591</v>
      </c>
      <c r="JA9" s="3900" t="s">
        <v>6591</v>
      </c>
      <c r="JB9" s="3900" t="s">
        <v>6591</v>
      </c>
      <c r="JC9" s="3900" t="s">
        <v>6591</v>
      </c>
      <c r="JD9" s="3900" t="s">
        <v>6592</v>
      </c>
      <c r="JE9" s="3900" t="s">
        <v>6592</v>
      </c>
      <c r="JF9" s="3900" t="s">
        <v>6592</v>
      </c>
      <c r="JG9" s="3900" t="s">
        <v>6592</v>
      </c>
      <c r="JH9" s="3900" t="s">
        <v>6592</v>
      </c>
      <c r="JI9" s="3900" t="s">
        <v>6594</v>
      </c>
      <c r="JJ9" s="3900" t="s">
        <v>6594</v>
      </c>
      <c r="JK9" s="3900" t="s">
        <v>6594</v>
      </c>
      <c r="JL9" s="3900" t="s">
        <v>6594</v>
      </c>
      <c r="JM9" s="3900" t="s">
        <v>6594</v>
      </c>
      <c r="JN9" s="3900" t="s">
        <v>6595</v>
      </c>
      <c r="JO9" s="3900" t="s">
        <v>6595</v>
      </c>
      <c r="JP9" s="3900" t="s">
        <v>6595</v>
      </c>
      <c r="JQ9" s="3900" t="s">
        <v>6595</v>
      </c>
      <c r="JR9" s="3900" t="s">
        <v>6595</v>
      </c>
      <c r="JS9" s="3900" t="s">
        <v>6596</v>
      </c>
      <c r="JT9" s="3900" t="s">
        <v>6596</v>
      </c>
      <c r="JU9" s="3900" t="s">
        <v>6596</v>
      </c>
      <c r="JV9" s="3900" t="s">
        <v>6596</v>
      </c>
      <c r="JW9" s="3900" t="s">
        <v>6596</v>
      </c>
      <c r="JX9" s="3900" t="s">
        <v>6812</v>
      </c>
      <c r="JY9" s="3900" t="s">
        <v>6812</v>
      </c>
      <c r="JZ9" s="3900" t="s">
        <v>6812</v>
      </c>
      <c r="KA9" s="3900" t="s">
        <v>6812</v>
      </c>
      <c r="KB9" s="3900" t="s">
        <v>6812</v>
      </c>
      <c r="KC9" s="3900" t="s">
        <v>6829</v>
      </c>
      <c r="KD9" s="3900" t="s">
        <v>6829</v>
      </c>
      <c r="KE9" s="3900" t="s">
        <v>6829</v>
      </c>
      <c r="KF9" s="3900" t="s">
        <v>6829</v>
      </c>
      <c r="KG9" s="3900" t="s">
        <v>6829</v>
      </c>
      <c r="KH9" s="3900" t="s">
        <v>6830</v>
      </c>
      <c r="KI9" s="3900" t="s">
        <v>6830</v>
      </c>
      <c r="KJ9" s="3900" t="s">
        <v>6830</v>
      </c>
      <c r="KK9" s="3900" t="s">
        <v>6830</v>
      </c>
      <c r="KL9" s="3900" t="s">
        <v>6830</v>
      </c>
      <c r="KM9" s="3900" t="s">
        <v>6598</v>
      </c>
      <c r="KN9" s="3900" t="s">
        <v>6598</v>
      </c>
      <c r="KO9" s="3900" t="s">
        <v>6598</v>
      </c>
      <c r="KP9" s="3900" t="s">
        <v>6598</v>
      </c>
      <c r="KQ9" s="3900" t="s">
        <v>6598</v>
      </c>
      <c r="KR9" s="3900" t="s">
        <v>6813</v>
      </c>
      <c r="KS9" s="3900" t="s">
        <v>6813</v>
      </c>
      <c r="KT9" s="3900" t="s">
        <v>6813</v>
      </c>
      <c r="KU9" s="3900" t="s">
        <v>6813</v>
      </c>
      <c r="KV9" s="3900" t="s">
        <v>6813</v>
      </c>
      <c r="KW9" s="3900" t="s">
        <v>6831</v>
      </c>
      <c r="KX9" s="3900" t="s">
        <v>6831</v>
      </c>
      <c r="KY9" s="3900" t="s">
        <v>6831</v>
      </c>
      <c r="KZ9" s="3900" t="s">
        <v>6831</v>
      </c>
      <c r="LA9" s="3900" t="s">
        <v>6831</v>
      </c>
      <c r="LB9" s="3900" t="s">
        <v>6832</v>
      </c>
      <c r="LC9" s="3900" t="s">
        <v>6832</v>
      </c>
      <c r="LD9" s="3900" t="s">
        <v>6832</v>
      </c>
      <c r="LE9" s="3900" t="s">
        <v>6832</v>
      </c>
      <c r="LF9" s="3900" t="s">
        <v>6832</v>
      </c>
      <c r="LG9" s="3900"/>
      <c r="LH9" s="3900"/>
      <c r="LI9" s="3900"/>
      <c r="LJ9" s="3900"/>
      <c r="LK9" s="3900"/>
      <c r="LL9" s="3900"/>
      <c r="LM9" s="3900"/>
      <c r="LN9" s="3900"/>
      <c r="LO9" s="3900"/>
      <c r="LP9" s="3900"/>
      <c r="LQ9" s="3900"/>
      <c r="LR9" s="3900"/>
      <c r="LS9" s="3900"/>
      <c r="LT9" s="3900"/>
      <c r="LU9" s="3900"/>
      <c r="LV9" s="3900"/>
      <c r="LW9" s="3900"/>
      <c r="LX9" s="3900"/>
      <c r="LY9" s="3900"/>
      <c r="LZ9" s="3900"/>
      <c r="MA9" s="3900"/>
      <c r="MB9" s="3900"/>
      <c r="MC9" s="3900"/>
      <c r="MD9" s="3900"/>
      <c r="ME9" s="3900"/>
      <c r="MF9" s="3900"/>
      <c r="MG9" s="3900"/>
      <c r="MH9" s="3900"/>
      <c r="MI9" s="3900"/>
      <c r="MJ9" s="3900"/>
      <c r="MK9" s="3917"/>
      <c r="ML9" s="3917"/>
      <c r="MM9" s="3917"/>
      <c r="MN9" s="3917"/>
      <c r="MO9" s="3917"/>
      <c r="MP9" s="3900"/>
      <c r="MQ9" s="3900"/>
      <c r="MR9" s="3900"/>
      <c r="MS9" s="3900"/>
      <c r="MT9" s="3900"/>
      <c r="MU9" s="89"/>
      <c r="MV9" s="89"/>
      <c r="MW9" s="89"/>
      <c r="MX9" s="89"/>
      <c r="MY9" s="89"/>
      <c r="MZ9" s="89"/>
      <c r="NA9" s="89"/>
      <c r="NB9" s="89"/>
      <c r="NC9" s="89"/>
      <c r="ND9" s="89"/>
      <c r="NE9" s="89"/>
      <c r="NF9" s="89"/>
      <c r="NG9" s="89"/>
      <c r="NH9" s="89"/>
      <c r="NI9" s="89"/>
      <c r="NJ9" s="89"/>
      <c r="NK9" s="89"/>
      <c r="NL9" s="89"/>
      <c r="NM9" s="89"/>
      <c r="NN9" s="89"/>
      <c r="NO9" s="89"/>
      <c r="NP9" s="285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8"/>
      <c r="B10" s="1345" t="s">
        <v>4126</v>
      </c>
      <c r="C10" s="1401" t="s">
        <v>163</v>
      </c>
      <c r="D10" s="1401" t="s">
        <v>165</v>
      </c>
      <c r="E10" s="1401" t="s">
        <v>1418</v>
      </c>
      <c r="F10" s="1401" t="s">
        <v>1231</v>
      </c>
      <c r="G10" s="3924"/>
      <c r="H10" s="1401" t="s">
        <v>6307</v>
      </c>
      <c r="I10" s="3924"/>
      <c r="J10" s="3920"/>
      <c r="K10" s="431" t="s">
        <v>338</v>
      </c>
      <c r="L10" s="1401" t="s">
        <v>1469</v>
      </c>
      <c r="M10" s="1401" t="s">
        <v>513</v>
      </c>
      <c r="N10" s="1401" t="s">
        <v>1417</v>
      </c>
      <c r="O10" s="1401" t="s">
        <v>6828</v>
      </c>
      <c r="P10" s="3922"/>
      <c r="Q10" s="3903"/>
      <c r="R10" s="1401" t="s">
        <v>1419</v>
      </c>
      <c r="S10" s="1401" t="s">
        <v>2546</v>
      </c>
      <c r="T10" s="31" t="s">
        <v>1760</v>
      </c>
      <c r="W10" s="31"/>
      <c r="X10" s="3900"/>
      <c r="Y10" s="3900"/>
      <c r="Z10" s="3900"/>
      <c r="AA10" s="3900"/>
      <c r="AB10" s="3900"/>
      <c r="AC10" s="3900"/>
      <c r="AD10" s="3900"/>
      <c r="AE10" s="3900"/>
      <c r="AF10" s="3900"/>
      <c r="AG10" s="3900"/>
      <c r="AH10" s="3900"/>
      <c r="AI10" s="3900"/>
      <c r="AJ10" s="3900"/>
      <c r="AK10" s="3900"/>
      <c r="AL10" s="3900"/>
      <c r="AM10" s="3900"/>
      <c r="AN10" s="3900"/>
      <c r="AO10" s="3900"/>
      <c r="AP10" s="3900"/>
      <c r="AQ10" s="3900"/>
      <c r="AR10" s="3900"/>
      <c r="AS10" s="3900"/>
      <c r="AT10" s="3900"/>
      <c r="AU10" s="3900"/>
      <c r="AV10" s="3900"/>
      <c r="AW10" s="3900"/>
      <c r="AX10" s="3900"/>
      <c r="AY10" s="3900"/>
      <c r="AZ10" s="3900"/>
      <c r="BA10" s="3900"/>
      <c r="BB10" s="3900"/>
      <c r="BC10" s="3900"/>
      <c r="BD10" s="3900"/>
      <c r="BE10" s="3900"/>
      <c r="BF10" s="3900"/>
      <c r="BG10" s="3900"/>
      <c r="BH10" s="3900"/>
      <c r="BI10" s="3900"/>
      <c r="BJ10" s="3900"/>
      <c r="BK10" s="3900"/>
      <c r="BL10" s="3900"/>
      <c r="BM10" s="3900"/>
      <c r="BN10" s="3900"/>
      <c r="BO10" s="3900"/>
      <c r="BP10" s="3900"/>
      <c r="BQ10" s="3900"/>
      <c r="BR10" s="3900"/>
      <c r="BS10" s="3900"/>
      <c r="BT10" s="3900"/>
      <c r="BU10" s="3900"/>
      <c r="BV10" s="3900"/>
      <c r="BW10" s="3900"/>
      <c r="BX10" s="3900"/>
      <c r="BY10" s="3900"/>
      <c r="BZ10" s="3900"/>
      <c r="CA10" s="3900"/>
      <c r="CB10" s="3900"/>
      <c r="CC10" s="3900"/>
      <c r="CD10" s="3900"/>
      <c r="CE10" s="3900"/>
      <c r="CF10" s="3900"/>
      <c r="CG10" s="3900"/>
      <c r="CH10" s="3900"/>
      <c r="CI10" s="3900"/>
      <c r="CJ10" s="3900"/>
      <c r="CK10" s="3900"/>
      <c r="CL10" s="3900"/>
      <c r="CM10" s="3900"/>
      <c r="CN10" s="3900"/>
      <c r="CO10" s="3900"/>
      <c r="CP10" s="3900"/>
      <c r="CQ10" s="3900"/>
      <c r="CR10" s="3900"/>
      <c r="CS10" s="3900"/>
      <c r="CT10" s="3900"/>
      <c r="CU10" s="3900"/>
      <c r="CV10" s="3900"/>
      <c r="CW10" s="3900"/>
      <c r="CX10" s="3900"/>
      <c r="CY10" s="3900"/>
      <c r="CZ10" s="3900"/>
      <c r="DA10" s="3900"/>
      <c r="DB10" s="3900"/>
      <c r="DC10" s="3900"/>
      <c r="DD10" s="3900"/>
      <c r="DE10" s="3900"/>
      <c r="DF10" s="3900"/>
      <c r="DG10" s="3900"/>
      <c r="DH10" s="3900"/>
      <c r="DI10" s="3900"/>
      <c r="DJ10" s="3900"/>
      <c r="DK10" s="3900"/>
      <c r="DL10" s="3900"/>
      <c r="DM10" s="3900"/>
      <c r="DN10" s="3900"/>
      <c r="DO10" s="3900"/>
      <c r="DP10" s="3900"/>
      <c r="DQ10" s="3900"/>
      <c r="DR10" s="3900"/>
      <c r="DS10" s="3900"/>
      <c r="DT10" s="3900"/>
      <c r="DU10" s="3900"/>
      <c r="DV10" s="3900"/>
      <c r="DW10" s="3900"/>
      <c r="DX10" s="3900"/>
      <c r="DY10" s="3900"/>
      <c r="DZ10" s="3900"/>
      <c r="EA10" s="3900"/>
      <c r="EB10" s="3900"/>
      <c r="EC10" s="3900"/>
      <c r="ED10" s="3900"/>
      <c r="EE10" s="3900"/>
      <c r="EF10" s="3900"/>
      <c r="EG10" s="3900"/>
      <c r="EH10" s="3900"/>
      <c r="EI10" s="3900"/>
      <c r="EJ10" s="3900"/>
      <c r="EK10" s="3900"/>
      <c r="EL10" s="3900"/>
      <c r="EM10" s="3900"/>
      <c r="EN10" s="3900"/>
      <c r="EO10" s="3900"/>
      <c r="EP10" s="3900"/>
      <c r="EQ10" s="3900"/>
      <c r="ER10" s="3900"/>
      <c r="ES10" s="3900"/>
      <c r="ET10" s="3900"/>
      <c r="EU10" s="3900"/>
      <c r="EV10" s="3900"/>
      <c r="EW10" s="3900"/>
      <c r="EX10" s="3900"/>
      <c r="EY10" s="3900"/>
      <c r="EZ10" s="3900"/>
      <c r="FA10" s="3900"/>
      <c r="FB10" s="3900"/>
      <c r="FC10" s="3900"/>
      <c r="FD10" s="3900"/>
      <c r="FE10" s="3900"/>
      <c r="FF10" s="3900"/>
      <c r="FG10" s="3900"/>
      <c r="FH10" s="3900"/>
      <c r="FI10" s="3900"/>
      <c r="FJ10" s="3900"/>
      <c r="FK10" s="3900"/>
      <c r="FL10" s="3900"/>
      <c r="FM10" s="3900"/>
      <c r="FN10" s="3900"/>
      <c r="FO10" s="3900"/>
      <c r="FP10" s="3900"/>
      <c r="FQ10" s="3900"/>
      <c r="FR10" s="3900"/>
      <c r="FS10" s="3900"/>
      <c r="FT10" s="3900"/>
      <c r="FU10" s="3900"/>
      <c r="FV10" s="3900"/>
      <c r="FW10" s="3900"/>
      <c r="FX10" s="3900"/>
      <c r="FY10" s="3900"/>
      <c r="FZ10" s="3900"/>
      <c r="GA10" s="3900"/>
      <c r="GB10" s="3900"/>
      <c r="GC10" s="3900"/>
      <c r="GD10" s="3900"/>
      <c r="GE10" s="3900"/>
      <c r="GF10" s="3900"/>
      <c r="GG10" s="3900"/>
      <c r="GH10" s="3900"/>
      <c r="GI10" s="3900"/>
      <c r="GJ10" s="3900"/>
      <c r="GK10" s="3900"/>
      <c r="GL10" s="3900"/>
      <c r="GM10" s="3900"/>
      <c r="GN10" s="3900"/>
      <c r="GO10" s="3900"/>
      <c r="GP10" s="3900"/>
      <c r="GQ10" s="3900"/>
      <c r="GR10" s="3900"/>
      <c r="GS10" s="3900"/>
      <c r="GT10" s="3900"/>
      <c r="GU10" s="3900"/>
      <c r="GV10" s="3900"/>
      <c r="GW10" s="3900"/>
      <c r="GX10" s="3900"/>
      <c r="GY10" s="3900"/>
      <c r="GZ10" s="3900"/>
      <c r="HA10" s="3900"/>
      <c r="HB10" s="3900"/>
      <c r="HC10" s="3900"/>
      <c r="HD10" s="3900"/>
      <c r="HE10" s="3900"/>
      <c r="HF10" s="3900"/>
      <c r="HG10" s="3900"/>
      <c r="HH10" s="3900"/>
      <c r="HI10" s="3900"/>
      <c r="HJ10" s="3900"/>
      <c r="HK10" s="3900"/>
      <c r="HL10" s="3900"/>
      <c r="HM10" s="3900"/>
      <c r="HN10" s="3900"/>
      <c r="HO10" s="3900"/>
      <c r="HP10" s="3900"/>
      <c r="HQ10" s="3900"/>
      <c r="HR10" s="3900"/>
      <c r="HS10" s="3900"/>
      <c r="HT10" s="3900"/>
      <c r="HU10" s="3900"/>
      <c r="HV10" s="3900"/>
      <c r="HW10" s="3900"/>
      <c r="HX10" s="3900"/>
      <c r="HY10" s="3900"/>
      <c r="HZ10" s="3900"/>
      <c r="IA10" s="1812" t="s">
        <v>2382</v>
      </c>
      <c r="IB10" s="1812" t="s">
        <v>2382</v>
      </c>
      <c r="IC10" s="1812" t="s">
        <v>2382</v>
      </c>
      <c r="ID10" s="1812" t="s">
        <v>2382</v>
      </c>
      <c r="IE10" s="3900"/>
      <c r="IF10" s="3900"/>
      <c r="IG10" s="3900"/>
      <c r="IH10" s="3900"/>
      <c r="II10" s="3900"/>
      <c r="IJ10" s="3900"/>
      <c r="IK10" s="3900"/>
      <c r="IL10" s="3900"/>
      <c r="IM10" s="3900"/>
      <c r="IN10" s="3900"/>
      <c r="IO10" s="1812" t="s">
        <v>2384</v>
      </c>
      <c r="IP10" s="1812" t="s">
        <v>2384</v>
      </c>
      <c r="IQ10" s="1812" t="s">
        <v>2384</v>
      </c>
      <c r="IR10" s="1812" t="s">
        <v>2384</v>
      </c>
      <c r="IS10" s="1812" t="s">
        <v>2384</v>
      </c>
      <c r="IT10" s="1812" t="s">
        <v>3121</v>
      </c>
      <c r="IU10" s="1812" t="s">
        <v>3121</v>
      </c>
      <c r="IV10" s="1812" t="s">
        <v>3121</v>
      </c>
      <c r="IW10" s="1812" t="s">
        <v>3121</v>
      </c>
      <c r="IX10" s="1812" t="s">
        <v>3121</v>
      </c>
      <c r="IY10" s="3900"/>
      <c r="IZ10" s="3900"/>
      <c r="JA10" s="3900"/>
      <c r="JB10" s="3900"/>
      <c r="JC10" s="3900"/>
      <c r="JD10" s="3900"/>
      <c r="JE10" s="3900"/>
      <c r="JF10" s="3900"/>
      <c r="JG10" s="3900"/>
      <c r="JH10" s="3900"/>
      <c r="JI10" s="3900"/>
      <c r="JJ10" s="3900"/>
      <c r="JK10" s="3900"/>
      <c r="JL10" s="3900"/>
      <c r="JM10" s="3900"/>
      <c r="JN10" s="3900"/>
      <c r="JO10" s="3900"/>
      <c r="JP10" s="3900"/>
      <c r="JQ10" s="3900"/>
      <c r="JR10" s="3900"/>
      <c r="JS10" s="3900"/>
      <c r="JT10" s="3900"/>
      <c r="JU10" s="3900"/>
      <c r="JV10" s="3900"/>
      <c r="JW10" s="3900"/>
      <c r="JX10" s="3900"/>
      <c r="JY10" s="3900"/>
      <c r="JZ10" s="3900"/>
      <c r="KA10" s="3900"/>
      <c r="KB10" s="3900"/>
      <c r="KC10" s="3900"/>
      <c r="KD10" s="3900"/>
      <c r="KE10" s="3900"/>
      <c r="KF10" s="3900"/>
      <c r="KG10" s="3900"/>
      <c r="KH10" s="3900"/>
      <c r="KI10" s="3900"/>
      <c r="KJ10" s="3900"/>
      <c r="KK10" s="3900"/>
      <c r="KL10" s="3900"/>
      <c r="KM10" s="3900"/>
      <c r="KN10" s="3900"/>
      <c r="KO10" s="3900"/>
      <c r="KP10" s="3900"/>
      <c r="KQ10" s="3900"/>
      <c r="KR10" s="3900"/>
      <c r="KS10" s="3900"/>
      <c r="KT10" s="3900"/>
      <c r="KU10" s="3900"/>
      <c r="KV10" s="3900"/>
      <c r="KW10" s="3900"/>
      <c r="KX10" s="3900"/>
      <c r="KY10" s="3900"/>
      <c r="KZ10" s="3900"/>
      <c r="LA10" s="3900"/>
      <c r="LB10" s="3900"/>
      <c r="LC10" s="3900"/>
      <c r="LD10" s="3900"/>
      <c r="LE10" s="3900"/>
      <c r="LF10" s="3900"/>
      <c r="LG10" s="3900"/>
      <c r="LH10" s="3900"/>
      <c r="LI10" s="3900"/>
      <c r="LJ10" s="3900"/>
      <c r="LK10" s="3900"/>
      <c r="LL10" s="3900"/>
      <c r="LM10" s="3900"/>
      <c r="LN10" s="3900"/>
      <c r="LO10" s="3900"/>
      <c r="LP10" s="3900"/>
      <c r="LQ10" s="3900"/>
      <c r="LR10" s="3900"/>
      <c r="LS10" s="3900"/>
      <c r="LT10" s="3900"/>
      <c r="LU10" s="3900"/>
      <c r="LV10" s="3900"/>
      <c r="LW10" s="3900"/>
      <c r="LX10" s="3900"/>
      <c r="LY10" s="3900"/>
      <c r="LZ10" s="3900"/>
      <c r="MA10" s="3900"/>
      <c r="MB10" s="3900"/>
      <c r="MC10" s="3900"/>
      <c r="MD10" s="3900"/>
      <c r="ME10" s="3900"/>
      <c r="MF10" s="3900"/>
      <c r="MG10" s="3900"/>
      <c r="MH10" s="3900"/>
      <c r="MI10" s="3900"/>
      <c r="MJ10" s="3900"/>
      <c r="MK10" s="3917"/>
      <c r="ML10" s="3917"/>
      <c r="MM10" s="3917"/>
      <c r="MN10" s="3917"/>
      <c r="MO10" s="3917"/>
      <c r="MP10" s="3900"/>
      <c r="MQ10" s="3900"/>
      <c r="MR10" s="3900"/>
      <c r="MS10" s="3900"/>
      <c r="MT10" s="3900"/>
      <c r="MU10" s="89"/>
      <c r="MV10" s="89"/>
      <c r="MW10" s="89"/>
      <c r="MX10" s="89"/>
      <c r="MY10" s="89"/>
      <c r="MZ10" s="89"/>
      <c r="NA10" s="89"/>
      <c r="NB10" s="89"/>
      <c r="NC10" s="89"/>
      <c r="ND10" s="89"/>
      <c r="NE10" s="89"/>
      <c r="NF10" s="89"/>
      <c r="NG10" s="89"/>
      <c r="NH10" s="89"/>
      <c r="NI10" s="89"/>
      <c r="NJ10" s="89"/>
      <c r="NK10" s="89"/>
      <c r="NL10" s="89"/>
      <c r="NM10" s="89"/>
      <c r="NN10" s="89"/>
      <c r="NO10" s="89"/>
      <c r="NP10" s="285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7" t="s">
        <v>3828</v>
      </c>
      <c r="C11" s="2858"/>
      <c r="D11" s="2859"/>
      <c r="E11" s="2860"/>
      <c r="F11" s="2860"/>
      <c r="G11" s="2860"/>
      <c r="H11" s="2860"/>
      <c r="I11" s="2861"/>
      <c r="J11" s="2862"/>
      <c r="K11" s="2863"/>
      <c r="L11" s="536">
        <f t="shared" ref="L11:L48" si="0">MAX(0,H11-I11-J11)</f>
        <v>0</v>
      </c>
      <c r="M11" s="536">
        <f t="shared" ref="M11:M48" si="1">MAX(0,E11*L11)</f>
        <v>0</v>
      </c>
      <c r="N11" s="2864"/>
      <c r="O11" s="2865"/>
      <c r="P11" s="2864"/>
      <c r="Q11" s="2866"/>
      <c r="R11" s="2867"/>
      <c r="S11" s="2868"/>
      <c r="T11" s="3848"/>
      <c r="U11" s="3849"/>
      <c r="V11" s="3849"/>
      <c r="W11" s="3850"/>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8" t="s">
        <v>6718</v>
      </c>
    </row>
    <row r="12" spans="1:493" ht="13.9" customHeight="1">
      <c r="A12" s="108" t="str">
        <f t="shared" ref="A12:A48" si="327">IF(AND(E12&gt;0,OR(B12="",C12="",D12="",F12="",G12="", H12="",I12="",N12="",O12="",P12="",Q12="")),1,"")</f>
        <v/>
      </c>
      <c r="B12" s="2869" t="s">
        <v>3828</v>
      </c>
      <c r="C12" s="2870"/>
      <c r="D12" s="2871"/>
      <c r="E12" s="2872"/>
      <c r="F12" s="2872"/>
      <c r="G12" s="2872"/>
      <c r="H12" s="2872"/>
      <c r="I12" s="2872"/>
      <c r="J12" s="2873"/>
      <c r="K12" s="2874"/>
      <c r="L12" s="537">
        <f t="shared" si="0"/>
        <v>0</v>
      </c>
      <c r="M12" s="537">
        <f t="shared" si="1"/>
        <v>0</v>
      </c>
      <c r="N12" s="2713"/>
      <c r="O12" s="2875"/>
      <c r="P12" s="2713"/>
      <c r="Q12" s="2876"/>
      <c r="R12" s="2877"/>
      <c r="S12" s="2878"/>
      <c r="T12" s="3834"/>
      <c r="U12" s="3835"/>
      <c r="V12" s="3835"/>
      <c r="W12" s="3836"/>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8" t="s">
        <v>6719</v>
      </c>
    </row>
    <row r="13" spans="1:493" ht="13.9" customHeight="1">
      <c r="A13" s="108" t="str">
        <f t="shared" si="327"/>
        <v/>
      </c>
      <c r="B13" s="2869" t="s">
        <v>292</v>
      </c>
      <c r="C13" s="2870"/>
      <c r="D13" s="2871"/>
      <c r="E13" s="2872"/>
      <c r="F13" s="2872"/>
      <c r="G13" s="2872"/>
      <c r="H13" s="2872"/>
      <c r="I13" s="2872"/>
      <c r="J13" s="2873"/>
      <c r="K13" s="2874"/>
      <c r="L13" s="537">
        <f t="shared" si="0"/>
        <v>0</v>
      </c>
      <c r="M13" s="537">
        <f t="shared" si="1"/>
        <v>0</v>
      </c>
      <c r="N13" s="2713"/>
      <c r="O13" s="2875"/>
      <c r="P13" s="2713"/>
      <c r="Q13" s="2876"/>
      <c r="R13" s="2877"/>
      <c r="S13" s="2878"/>
      <c r="T13" s="3834"/>
      <c r="U13" s="3835"/>
      <c r="V13" s="3835"/>
      <c r="W13" s="3836"/>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8" t="s">
        <v>6720</v>
      </c>
    </row>
    <row r="14" spans="1:493" ht="13.9" customHeight="1">
      <c r="A14" s="108" t="str">
        <f t="shared" si="327"/>
        <v/>
      </c>
      <c r="B14" s="2869" t="s">
        <v>292</v>
      </c>
      <c r="C14" s="2870"/>
      <c r="D14" s="2871"/>
      <c r="E14" s="2872"/>
      <c r="F14" s="2872"/>
      <c r="G14" s="2872"/>
      <c r="H14" s="2872"/>
      <c r="I14" s="2872"/>
      <c r="J14" s="2873"/>
      <c r="K14" s="2874"/>
      <c r="L14" s="537">
        <f t="shared" si="0"/>
        <v>0</v>
      </c>
      <c r="M14" s="537">
        <f t="shared" si="1"/>
        <v>0</v>
      </c>
      <c r="N14" s="2713"/>
      <c r="O14" s="2875"/>
      <c r="P14" s="2713"/>
      <c r="Q14" s="2876"/>
      <c r="R14" s="2877"/>
      <c r="S14" s="2878"/>
      <c r="T14" s="3834"/>
      <c r="U14" s="3835"/>
      <c r="V14" s="3835"/>
      <c r="W14" s="3836"/>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8" t="s">
        <v>6721</v>
      </c>
    </row>
    <row r="15" spans="1:493" ht="13.9" customHeight="1">
      <c r="A15" s="108" t="str">
        <f t="shared" si="327"/>
        <v/>
      </c>
      <c r="B15" s="2869" t="s">
        <v>292</v>
      </c>
      <c r="C15" s="2870">
        <v>1</v>
      </c>
      <c r="D15" s="2871">
        <v>1</v>
      </c>
      <c r="E15" s="2872">
        <v>2</v>
      </c>
      <c r="F15" s="2872">
        <v>668</v>
      </c>
      <c r="G15" s="2872" t="s">
        <v>2933</v>
      </c>
      <c r="H15" s="2872">
        <v>900</v>
      </c>
      <c r="I15" s="2872">
        <v>0</v>
      </c>
      <c r="J15" s="2873">
        <v>0</v>
      </c>
      <c r="K15" s="2874"/>
      <c r="L15" s="537">
        <f t="shared" si="0"/>
        <v>900</v>
      </c>
      <c r="M15" s="537">
        <f t="shared" si="1"/>
        <v>1800</v>
      </c>
      <c r="N15" s="2713" t="s">
        <v>2772</v>
      </c>
      <c r="O15" s="2875" t="s">
        <v>6599</v>
      </c>
      <c r="P15" s="2713" t="s">
        <v>2192</v>
      </c>
      <c r="Q15" s="2876" t="s">
        <v>2772</v>
      </c>
      <c r="R15" s="2877"/>
      <c r="S15" s="2878"/>
      <c r="T15" s="3834"/>
      <c r="U15" s="3835"/>
      <c r="V15" s="3835"/>
      <c r="W15" s="3836"/>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f t="shared" si="38"/>
        <v>2</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f t="shared" si="153"/>
        <v>1336</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f t="shared" si="173"/>
        <v>2</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f t="shared" si="213"/>
        <v>2</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f t="shared" si="278"/>
        <v>2</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2</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8" t="s">
        <v>6722</v>
      </c>
    </row>
    <row r="16" spans="1:493" ht="13.9" customHeight="1">
      <c r="A16" s="108" t="str">
        <f t="shared" si="327"/>
        <v/>
      </c>
      <c r="B16" s="2869" t="s">
        <v>292</v>
      </c>
      <c r="C16" s="2870">
        <v>2</v>
      </c>
      <c r="D16" s="2871">
        <v>2</v>
      </c>
      <c r="E16" s="2872">
        <v>4</v>
      </c>
      <c r="F16" s="2872">
        <v>930</v>
      </c>
      <c r="G16" s="2872" t="s">
        <v>2933</v>
      </c>
      <c r="H16" s="2872">
        <v>1100</v>
      </c>
      <c r="I16" s="2872">
        <v>0</v>
      </c>
      <c r="J16" s="2873">
        <v>0</v>
      </c>
      <c r="K16" s="2874"/>
      <c r="L16" s="537">
        <f t="shared" si="0"/>
        <v>1100</v>
      </c>
      <c r="M16" s="537">
        <f t="shared" si="1"/>
        <v>4400</v>
      </c>
      <c r="N16" s="2713" t="s">
        <v>2772</v>
      </c>
      <c r="O16" s="2875" t="s">
        <v>6599</v>
      </c>
      <c r="P16" s="2713" t="s">
        <v>2192</v>
      </c>
      <c r="Q16" s="2876" t="s">
        <v>2772</v>
      </c>
      <c r="R16" s="2877"/>
      <c r="S16" s="2878"/>
      <c r="T16" s="3834"/>
      <c r="U16" s="3835"/>
      <c r="V16" s="3835"/>
      <c r="W16" s="3836"/>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f t="shared" si="39"/>
        <v>4</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f t="shared" si="154"/>
        <v>3720</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f t="shared" si="174"/>
        <v>4</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f t="shared" si="214"/>
        <v>4</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f t="shared" si="279"/>
        <v>4</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4</v>
      </c>
      <c r="MN16" s="1815">
        <f t="shared" si="336"/>
        <v>0</v>
      </c>
      <c r="MO16" s="1815">
        <f t="shared" si="337"/>
        <v>0</v>
      </c>
      <c r="MP16" s="1815">
        <f t="shared" si="322"/>
        <v>0</v>
      </c>
      <c r="MQ16" s="1815">
        <f t="shared" si="323"/>
        <v>0</v>
      </c>
      <c r="MR16" s="1815">
        <f t="shared" si="324"/>
        <v>0</v>
      </c>
      <c r="MS16" s="1815">
        <f t="shared" si="325"/>
        <v>0</v>
      </c>
      <c r="MT16" s="1815">
        <f t="shared" si="326"/>
        <v>0</v>
      </c>
      <c r="NP16" s="2808" t="s">
        <v>6723</v>
      </c>
    </row>
    <row r="17" spans="1:380" ht="13.9" customHeight="1" thickBot="1">
      <c r="A17" s="108" t="str">
        <f t="shared" si="327"/>
        <v/>
      </c>
      <c r="B17" s="2879" t="s">
        <v>292</v>
      </c>
      <c r="C17" s="2880">
        <v>3</v>
      </c>
      <c r="D17" s="2881">
        <v>2</v>
      </c>
      <c r="E17" s="2882">
        <v>2</v>
      </c>
      <c r="F17" s="2882">
        <v>1106</v>
      </c>
      <c r="G17" s="2882" t="s">
        <v>2933</v>
      </c>
      <c r="H17" s="2882">
        <v>1250</v>
      </c>
      <c r="I17" s="2882">
        <v>0</v>
      </c>
      <c r="J17" s="2883">
        <v>0</v>
      </c>
      <c r="K17" s="2884"/>
      <c r="L17" s="1189">
        <f t="shared" si="0"/>
        <v>1250</v>
      </c>
      <c r="M17" s="1189">
        <f t="shared" si="1"/>
        <v>2500</v>
      </c>
      <c r="N17" s="2885" t="s">
        <v>2772</v>
      </c>
      <c r="O17" s="2886" t="s">
        <v>6599</v>
      </c>
      <c r="P17" s="2885" t="s">
        <v>2192</v>
      </c>
      <c r="Q17" s="2887" t="s">
        <v>2772</v>
      </c>
      <c r="R17" s="2877"/>
      <c r="S17" s="2878"/>
      <c r="T17" s="3834"/>
      <c r="U17" s="3835"/>
      <c r="V17" s="3835"/>
      <c r="W17" s="3836"/>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f t="shared" si="40"/>
        <v>2</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f t="shared" si="155"/>
        <v>2212</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f t="shared" si="175"/>
        <v>2</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f t="shared" si="215"/>
        <v>2</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f t="shared" si="280"/>
        <v>2</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2</v>
      </c>
      <c r="MO17" s="1815">
        <f t="shared" si="337"/>
        <v>0</v>
      </c>
      <c r="MP17" s="1815">
        <f t="shared" si="322"/>
        <v>0</v>
      </c>
      <c r="MQ17" s="1815">
        <f t="shared" si="323"/>
        <v>0</v>
      </c>
      <c r="MR17" s="1815">
        <f t="shared" si="324"/>
        <v>0</v>
      </c>
      <c r="MS17" s="1815">
        <f t="shared" si="325"/>
        <v>0</v>
      </c>
      <c r="MT17" s="1815">
        <f t="shared" si="326"/>
        <v>0</v>
      </c>
      <c r="NP17" s="2808" t="s">
        <v>6724</v>
      </c>
    </row>
    <row r="18" spans="1:380" ht="13.9" customHeight="1">
      <c r="A18" s="108" t="str">
        <f t="shared" si="327"/>
        <v/>
      </c>
      <c r="B18" s="2888">
        <v>50</v>
      </c>
      <c r="C18" s="2889">
        <v>1</v>
      </c>
      <c r="D18" s="2890">
        <v>1</v>
      </c>
      <c r="E18" s="2891">
        <v>4</v>
      </c>
      <c r="F18" s="2891">
        <v>668</v>
      </c>
      <c r="G18" s="2891">
        <v>513</v>
      </c>
      <c r="H18" s="2891">
        <v>513</v>
      </c>
      <c r="I18" s="2891">
        <v>0</v>
      </c>
      <c r="J18" s="2892">
        <f>IF(C18="",0,HLOOKUP(C18,'Part V-Utility Allowances'!$I$11:$M$22,12))</f>
        <v>55</v>
      </c>
      <c r="K18" s="2893"/>
      <c r="L18" s="1188">
        <f t="shared" si="0"/>
        <v>458</v>
      </c>
      <c r="M18" s="1188">
        <f t="shared" si="1"/>
        <v>1832</v>
      </c>
      <c r="N18" s="2894" t="s">
        <v>2772</v>
      </c>
      <c r="O18" s="2895" t="s">
        <v>6599</v>
      </c>
      <c r="P18" s="2894" t="s">
        <v>2192</v>
      </c>
      <c r="Q18" s="2896" t="s">
        <v>2772</v>
      </c>
      <c r="R18" s="2877"/>
      <c r="S18" s="2878"/>
      <c r="T18" s="3834"/>
      <c r="U18" s="3835"/>
      <c r="V18" s="3835"/>
      <c r="W18" s="3836"/>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4</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2672</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4</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4</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f t="shared" si="278"/>
        <v>4</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4</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8" t="s">
        <v>6725</v>
      </c>
    </row>
    <row r="19" spans="1:380" ht="13.9" customHeight="1">
      <c r="A19" s="108" t="str">
        <f t="shared" si="327"/>
        <v/>
      </c>
      <c r="B19" s="2897">
        <v>50</v>
      </c>
      <c r="C19" s="2870">
        <v>2</v>
      </c>
      <c r="D19" s="2871">
        <v>2</v>
      </c>
      <c r="E19" s="2872">
        <v>8</v>
      </c>
      <c r="F19" s="2872">
        <v>930</v>
      </c>
      <c r="G19" s="2872">
        <v>616</v>
      </c>
      <c r="H19" s="2872">
        <v>616</v>
      </c>
      <c r="I19" s="2872">
        <v>0</v>
      </c>
      <c r="J19" s="2898">
        <f>IF(C19="",0,HLOOKUP(C19,'Part V-Utility Allowances'!$I$11:$M$22,12))</f>
        <v>71</v>
      </c>
      <c r="K19" s="2874"/>
      <c r="L19" s="537">
        <f t="shared" si="0"/>
        <v>545</v>
      </c>
      <c r="M19" s="537">
        <f t="shared" si="1"/>
        <v>4360</v>
      </c>
      <c r="N19" s="2713" t="s">
        <v>2772</v>
      </c>
      <c r="O19" s="2875" t="s">
        <v>6599</v>
      </c>
      <c r="P19" s="2713" t="s">
        <v>2192</v>
      </c>
      <c r="Q19" s="2876" t="s">
        <v>2772</v>
      </c>
      <c r="R19" s="2877"/>
      <c r="S19" s="2878"/>
      <c r="T19" s="3834"/>
      <c r="U19" s="3835"/>
      <c r="V19" s="3835"/>
      <c r="W19" s="3836"/>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8</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7440</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8</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8</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f t="shared" si="279"/>
        <v>8</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8</v>
      </c>
      <c r="MN19" s="1815">
        <f t="shared" si="336"/>
        <v>0</v>
      </c>
      <c r="MO19" s="1815">
        <f t="shared" si="337"/>
        <v>0</v>
      </c>
      <c r="MP19" s="1815">
        <f t="shared" si="322"/>
        <v>0</v>
      </c>
      <c r="MQ19" s="1815">
        <f t="shared" si="323"/>
        <v>0</v>
      </c>
      <c r="MR19" s="1815">
        <f t="shared" si="324"/>
        <v>0</v>
      </c>
      <c r="MS19" s="1815">
        <f t="shared" si="325"/>
        <v>0</v>
      </c>
      <c r="MT19" s="1815">
        <f t="shared" si="326"/>
        <v>0</v>
      </c>
      <c r="NP19" s="2808" t="s">
        <v>6726</v>
      </c>
    </row>
    <row r="20" spans="1:380" ht="13.9" customHeight="1">
      <c r="A20" s="108" t="str">
        <f t="shared" si="327"/>
        <v/>
      </c>
      <c r="B20" s="2897">
        <v>50</v>
      </c>
      <c r="C20" s="2870">
        <v>3</v>
      </c>
      <c r="D20" s="2871">
        <v>2</v>
      </c>
      <c r="E20" s="2872">
        <v>4</v>
      </c>
      <c r="F20" s="2872">
        <v>1106</v>
      </c>
      <c r="G20" s="2872">
        <v>711</v>
      </c>
      <c r="H20" s="2872">
        <v>711</v>
      </c>
      <c r="I20" s="2872">
        <v>0</v>
      </c>
      <c r="J20" s="2898">
        <f>IF(C20="",0,HLOOKUP(C20,'Part V-Utility Allowances'!$I$11:$M$22,12))</f>
        <v>89</v>
      </c>
      <c r="K20" s="2874"/>
      <c r="L20" s="537">
        <f t="shared" si="0"/>
        <v>622</v>
      </c>
      <c r="M20" s="537">
        <f t="shared" si="1"/>
        <v>2488</v>
      </c>
      <c r="N20" s="2713" t="s">
        <v>2772</v>
      </c>
      <c r="O20" s="2875" t="s">
        <v>6599</v>
      </c>
      <c r="P20" s="2713" t="s">
        <v>2192</v>
      </c>
      <c r="Q20" s="2876" t="s">
        <v>2772</v>
      </c>
      <c r="R20" s="2877"/>
      <c r="S20" s="2878"/>
      <c r="T20" s="3834"/>
      <c r="U20" s="3835"/>
      <c r="V20" s="3835"/>
      <c r="W20" s="3836"/>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4</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4424</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4</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4</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f t="shared" si="280"/>
        <v>4</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4</v>
      </c>
      <c r="MO20" s="1815">
        <f t="shared" si="337"/>
        <v>0</v>
      </c>
      <c r="MP20" s="1815">
        <f t="shared" si="322"/>
        <v>0</v>
      </c>
      <c r="MQ20" s="1815">
        <f t="shared" si="323"/>
        <v>0</v>
      </c>
      <c r="MR20" s="1815">
        <f t="shared" si="324"/>
        <v>0</v>
      </c>
      <c r="MS20" s="1815">
        <f t="shared" si="325"/>
        <v>0</v>
      </c>
      <c r="MT20" s="1815">
        <f t="shared" si="326"/>
        <v>0</v>
      </c>
      <c r="NP20" s="2808" t="s">
        <v>6727</v>
      </c>
    </row>
    <row r="21" spans="1:380" ht="13.9" customHeight="1">
      <c r="A21" s="108" t="str">
        <f t="shared" si="327"/>
        <v/>
      </c>
      <c r="B21" s="2897">
        <v>60</v>
      </c>
      <c r="C21" s="2870">
        <v>1</v>
      </c>
      <c r="D21" s="2871">
        <v>1</v>
      </c>
      <c r="E21" s="2872">
        <v>10</v>
      </c>
      <c r="F21" s="2872">
        <v>668</v>
      </c>
      <c r="G21" s="2872">
        <v>615</v>
      </c>
      <c r="H21" s="2872">
        <v>575</v>
      </c>
      <c r="I21" s="2872">
        <v>0</v>
      </c>
      <c r="J21" s="2898">
        <f>IF(C21="",0,HLOOKUP(C21,'Part V-Utility Allowances'!$I$11:$M$22,12))</f>
        <v>55</v>
      </c>
      <c r="K21" s="2874"/>
      <c r="L21" s="537">
        <f t="shared" si="0"/>
        <v>520</v>
      </c>
      <c r="M21" s="537">
        <f t="shared" si="1"/>
        <v>5200</v>
      </c>
      <c r="N21" s="2713" t="s">
        <v>2772</v>
      </c>
      <c r="O21" s="2875" t="s">
        <v>6599</v>
      </c>
      <c r="P21" s="2713" t="s">
        <v>2192</v>
      </c>
      <c r="Q21" s="2876" t="s">
        <v>2772</v>
      </c>
      <c r="R21" s="2877"/>
      <c r="S21" s="2878"/>
      <c r="T21" s="3834"/>
      <c r="U21" s="3835"/>
      <c r="V21" s="3835"/>
      <c r="W21" s="3836"/>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10</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6680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10</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10</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f t="shared" si="278"/>
        <v>10</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10</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8" t="s">
        <v>6728</v>
      </c>
    </row>
    <row r="22" spans="1:380" ht="13.9" customHeight="1">
      <c r="A22" s="108" t="str">
        <f t="shared" si="327"/>
        <v/>
      </c>
      <c r="B22" s="2897">
        <v>60</v>
      </c>
      <c r="C22" s="2870">
        <v>2</v>
      </c>
      <c r="D22" s="2871">
        <v>2</v>
      </c>
      <c r="E22" s="2872">
        <v>28</v>
      </c>
      <c r="F22" s="2872">
        <v>930</v>
      </c>
      <c r="G22" s="2872">
        <v>739</v>
      </c>
      <c r="H22" s="2872">
        <v>696</v>
      </c>
      <c r="I22" s="2872">
        <v>0</v>
      </c>
      <c r="J22" s="2898">
        <f>IF(C22="",0,HLOOKUP(C22,'Part V-Utility Allowances'!$I$11:$M$22,12))</f>
        <v>71</v>
      </c>
      <c r="K22" s="2874"/>
      <c r="L22" s="537">
        <f t="shared" si="0"/>
        <v>625</v>
      </c>
      <c r="M22" s="537">
        <f t="shared" si="1"/>
        <v>17500</v>
      </c>
      <c r="N22" s="2713" t="s">
        <v>2772</v>
      </c>
      <c r="O22" s="2875" t="s">
        <v>6599</v>
      </c>
      <c r="P22" s="2713" t="s">
        <v>2192</v>
      </c>
      <c r="Q22" s="2876" t="s">
        <v>2772</v>
      </c>
      <c r="R22" s="2877"/>
      <c r="S22" s="2878"/>
      <c r="T22" s="3834"/>
      <c r="U22" s="3835"/>
      <c r="V22" s="3835"/>
      <c r="W22" s="3836"/>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28</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26040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28</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28</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f t="shared" si="279"/>
        <v>28</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28</v>
      </c>
      <c r="MN22" s="1815">
        <f t="shared" si="336"/>
        <v>0</v>
      </c>
      <c r="MO22" s="1815">
        <f t="shared" si="337"/>
        <v>0</v>
      </c>
      <c r="MP22" s="1815">
        <f t="shared" si="322"/>
        <v>0</v>
      </c>
      <c r="MQ22" s="1815">
        <f t="shared" si="323"/>
        <v>0</v>
      </c>
      <c r="MR22" s="1815">
        <f t="shared" si="324"/>
        <v>0</v>
      </c>
      <c r="MS22" s="1815">
        <f t="shared" si="325"/>
        <v>0</v>
      </c>
      <c r="MT22" s="1815">
        <f t="shared" si="326"/>
        <v>0</v>
      </c>
      <c r="NP22" s="2808" t="s">
        <v>6729</v>
      </c>
    </row>
    <row r="23" spans="1:380" ht="13.9" customHeight="1">
      <c r="A23" s="108" t="str">
        <f t="shared" si="327"/>
        <v/>
      </c>
      <c r="B23" s="2897">
        <v>60</v>
      </c>
      <c r="C23" s="2870">
        <v>3</v>
      </c>
      <c r="D23" s="2871">
        <v>2</v>
      </c>
      <c r="E23" s="2872">
        <v>10</v>
      </c>
      <c r="F23" s="2872">
        <v>1106</v>
      </c>
      <c r="G23" s="2872">
        <v>853</v>
      </c>
      <c r="H23" s="2872">
        <v>814</v>
      </c>
      <c r="I23" s="2872">
        <v>0</v>
      </c>
      <c r="J23" s="2898">
        <f>IF(C23="",0,HLOOKUP(C23,'Part V-Utility Allowances'!$I$11:$M$22,12))</f>
        <v>89</v>
      </c>
      <c r="K23" s="2874"/>
      <c r="L23" s="537">
        <f t="shared" si="0"/>
        <v>725</v>
      </c>
      <c r="M23" s="537">
        <f t="shared" si="1"/>
        <v>7250</v>
      </c>
      <c r="N23" s="2713" t="s">
        <v>2772</v>
      </c>
      <c r="O23" s="2875" t="s">
        <v>6599</v>
      </c>
      <c r="P23" s="2713" t="s">
        <v>2192</v>
      </c>
      <c r="Q23" s="2876" t="s">
        <v>2772</v>
      </c>
      <c r="R23" s="2877"/>
      <c r="S23" s="2878"/>
      <c r="T23" s="3834"/>
      <c r="U23" s="3835"/>
      <c r="V23" s="3835"/>
      <c r="W23" s="3836"/>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10</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11060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10</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10</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f t="shared" si="280"/>
        <v>10</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10</v>
      </c>
      <c r="MO23" s="1815">
        <f t="shared" si="337"/>
        <v>0</v>
      </c>
      <c r="MP23" s="1815">
        <f t="shared" si="322"/>
        <v>0</v>
      </c>
      <c r="MQ23" s="1815">
        <f t="shared" si="323"/>
        <v>0</v>
      </c>
      <c r="MR23" s="1815">
        <f t="shared" si="324"/>
        <v>0</v>
      </c>
      <c r="MS23" s="1815">
        <f t="shared" si="325"/>
        <v>0</v>
      </c>
      <c r="MT23" s="1815">
        <f t="shared" si="326"/>
        <v>0</v>
      </c>
      <c r="NP23" s="2808" t="s">
        <v>6730</v>
      </c>
    </row>
    <row r="24" spans="1:380" ht="13.9" customHeight="1">
      <c r="A24" s="108" t="str">
        <f t="shared" si="327"/>
        <v/>
      </c>
      <c r="B24" s="2897"/>
      <c r="C24" s="2870"/>
      <c r="D24" s="2871"/>
      <c r="E24" s="2872"/>
      <c r="F24" s="2872"/>
      <c r="G24" s="2872"/>
      <c r="H24" s="2872"/>
      <c r="I24" s="2872"/>
      <c r="J24" s="2898">
        <f>IF(C24="",0,HLOOKUP(C24,'Part V-Utility Allowances'!$I$11:$M$22,12))</f>
        <v>0</v>
      </c>
      <c r="K24" s="2874"/>
      <c r="L24" s="537">
        <f t="shared" si="0"/>
        <v>0</v>
      </c>
      <c r="M24" s="537">
        <f t="shared" si="1"/>
        <v>0</v>
      </c>
      <c r="N24" s="2713"/>
      <c r="O24" s="2875"/>
      <c r="P24" s="2713"/>
      <c r="Q24" s="2876"/>
      <c r="R24" s="2877"/>
      <c r="S24" s="2878"/>
      <c r="T24" s="3834"/>
      <c r="U24" s="3835"/>
      <c r="V24" s="3835"/>
      <c r="W24" s="3836"/>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8" t="s">
        <v>6731</v>
      </c>
    </row>
    <row r="25" spans="1:380" ht="13.9" customHeight="1">
      <c r="A25" s="108" t="str">
        <f t="shared" si="327"/>
        <v/>
      </c>
      <c r="B25" s="2897"/>
      <c r="C25" s="2870"/>
      <c r="D25" s="2871"/>
      <c r="E25" s="2872"/>
      <c r="F25" s="2872"/>
      <c r="G25" s="2872"/>
      <c r="H25" s="2872"/>
      <c r="I25" s="2872"/>
      <c r="J25" s="2898">
        <f>IF(C25="",0,HLOOKUP(C25,'Part V-Utility Allowances'!$I$11:$M$22,12))</f>
        <v>0</v>
      </c>
      <c r="K25" s="2874"/>
      <c r="L25" s="537">
        <f t="shared" si="0"/>
        <v>0</v>
      </c>
      <c r="M25" s="537">
        <f t="shared" si="1"/>
        <v>0</v>
      </c>
      <c r="N25" s="2713"/>
      <c r="O25" s="2875"/>
      <c r="P25" s="2713"/>
      <c r="Q25" s="2876"/>
      <c r="R25" s="2877"/>
      <c r="S25" s="2878"/>
      <c r="T25" s="3834"/>
      <c r="U25" s="3835"/>
      <c r="V25" s="3835"/>
      <c r="W25" s="3836"/>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8" t="s">
        <v>6732</v>
      </c>
    </row>
    <row r="26" spans="1:380" ht="13.9" customHeight="1">
      <c r="A26" s="108" t="str">
        <f t="shared" si="327"/>
        <v/>
      </c>
      <c r="B26" s="2897"/>
      <c r="C26" s="2870"/>
      <c r="D26" s="2871"/>
      <c r="E26" s="2872"/>
      <c r="F26" s="2872"/>
      <c r="G26" s="2872"/>
      <c r="H26" s="2872"/>
      <c r="I26" s="2872"/>
      <c r="J26" s="2898">
        <f>IF(C26="",0,HLOOKUP(C26,'Part V-Utility Allowances'!$I$11:$M$22,12))</f>
        <v>0</v>
      </c>
      <c r="K26" s="2874"/>
      <c r="L26" s="537">
        <f t="shared" si="0"/>
        <v>0</v>
      </c>
      <c r="M26" s="537">
        <f t="shared" si="1"/>
        <v>0</v>
      </c>
      <c r="N26" s="2713"/>
      <c r="O26" s="2875"/>
      <c r="P26" s="2713"/>
      <c r="Q26" s="2876"/>
      <c r="R26" s="2877"/>
      <c r="S26" s="2878"/>
      <c r="T26" s="3834"/>
      <c r="U26" s="3835"/>
      <c r="V26" s="3835"/>
      <c r="W26" s="3836"/>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8" t="s">
        <v>6733</v>
      </c>
    </row>
    <row r="27" spans="1:380" ht="13.9" customHeight="1">
      <c r="A27" s="108" t="str">
        <f t="shared" si="327"/>
        <v/>
      </c>
      <c r="B27" s="2897"/>
      <c r="C27" s="2870"/>
      <c r="D27" s="2871"/>
      <c r="E27" s="2872"/>
      <c r="F27" s="2872"/>
      <c r="G27" s="2872"/>
      <c r="H27" s="2872"/>
      <c r="I27" s="2872"/>
      <c r="J27" s="2898">
        <f>IF(C27="",0,HLOOKUP(C27,'Part V-Utility Allowances'!$I$11:$M$22,12))</f>
        <v>0</v>
      </c>
      <c r="K27" s="2874"/>
      <c r="L27" s="537">
        <f t="shared" si="0"/>
        <v>0</v>
      </c>
      <c r="M27" s="537">
        <f t="shared" si="1"/>
        <v>0</v>
      </c>
      <c r="N27" s="2713"/>
      <c r="O27" s="2875"/>
      <c r="P27" s="2713"/>
      <c r="Q27" s="2876"/>
      <c r="R27" s="2877"/>
      <c r="S27" s="2878"/>
      <c r="T27" s="3834"/>
      <c r="U27" s="3835"/>
      <c r="V27" s="3835"/>
      <c r="W27" s="3836"/>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8" t="s">
        <v>6734</v>
      </c>
    </row>
    <row r="28" spans="1:380" ht="13.9" customHeight="1">
      <c r="A28" s="108" t="str">
        <f t="shared" si="327"/>
        <v/>
      </c>
      <c r="B28" s="2897"/>
      <c r="C28" s="2870"/>
      <c r="D28" s="2871"/>
      <c r="E28" s="2872"/>
      <c r="F28" s="2872"/>
      <c r="G28" s="2872"/>
      <c r="H28" s="2872"/>
      <c r="I28" s="2872"/>
      <c r="J28" s="2898">
        <f>IF(C28="",0,HLOOKUP(C28,'Part V-Utility Allowances'!$I$11:$M$22,12))</f>
        <v>0</v>
      </c>
      <c r="K28" s="2874"/>
      <c r="L28" s="537">
        <f t="shared" si="0"/>
        <v>0</v>
      </c>
      <c r="M28" s="537">
        <f t="shared" si="1"/>
        <v>0</v>
      </c>
      <c r="N28" s="2713"/>
      <c r="O28" s="2875"/>
      <c r="P28" s="2713"/>
      <c r="Q28" s="2876"/>
      <c r="R28" s="2877"/>
      <c r="S28" s="2878"/>
      <c r="T28" s="3834"/>
      <c r="U28" s="3835"/>
      <c r="V28" s="3835"/>
      <c r="W28" s="3836"/>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8" t="s">
        <v>6735</v>
      </c>
    </row>
    <row r="29" spans="1:380" ht="13.9" customHeight="1">
      <c r="A29" s="108" t="str">
        <f t="shared" si="327"/>
        <v/>
      </c>
      <c r="B29" s="2897"/>
      <c r="C29" s="2870"/>
      <c r="D29" s="2871"/>
      <c r="E29" s="2872"/>
      <c r="F29" s="2872"/>
      <c r="G29" s="2872"/>
      <c r="H29" s="2872"/>
      <c r="I29" s="2872"/>
      <c r="J29" s="2898">
        <f>IF(C29="",0,HLOOKUP(C29,'Part V-Utility Allowances'!$I$11:$M$22,12))</f>
        <v>0</v>
      </c>
      <c r="K29" s="2874"/>
      <c r="L29" s="537">
        <f t="shared" si="0"/>
        <v>0</v>
      </c>
      <c r="M29" s="537">
        <f t="shared" si="1"/>
        <v>0</v>
      </c>
      <c r="N29" s="2713"/>
      <c r="O29" s="2875"/>
      <c r="P29" s="2713"/>
      <c r="Q29" s="2876"/>
      <c r="R29" s="2877"/>
      <c r="S29" s="2878"/>
      <c r="T29" s="3834"/>
      <c r="U29" s="3835"/>
      <c r="V29" s="3835"/>
      <c r="W29" s="3836"/>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8" t="s">
        <v>6736</v>
      </c>
    </row>
    <row r="30" spans="1:380" ht="13.9" customHeight="1">
      <c r="A30" s="108" t="str">
        <f t="shared" si="327"/>
        <v/>
      </c>
      <c r="B30" s="2897"/>
      <c r="C30" s="2870"/>
      <c r="D30" s="2871"/>
      <c r="E30" s="2872"/>
      <c r="F30" s="2872"/>
      <c r="G30" s="2872"/>
      <c r="H30" s="2872"/>
      <c r="I30" s="2872"/>
      <c r="J30" s="2898">
        <f>IF(C30="",0,HLOOKUP(C30,'Part V-Utility Allowances'!$I$11:$M$22,12))</f>
        <v>0</v>
      </c>
      <c r="K30" s="2874"/>
      <c r="L30" s="537">
        <f t="shared" si="0"/>
        <v>0</v>
      </c>
      <c r="M30" s="537">
        <f t="shared" si="1"/>
        <v>0</v>
      </c>
      <c r="N30" s="2713"/>
      <c r="O30" s="2875"/>
      <c r="P30" s="2713"/>
      <c r="Q30" s="2876"/>
      <c r="R30" s="2877"/>
      <c r="S30" s="2878"/>
      <c r="T30" s="3834"/>
      <c r="U30" s="3835"/>
      <c r="V30" s="3835"/>
      <c r="W30" s="3836"/>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8" t="s">
        <v>6737</v>
      </c>
    </row>
    <row r="31" spans="1:380" ht="13.9" customHeight="1">
      <c r="A31" s="108" t="str">
        <f t="shared" si="327"/>
        <v/>
      </c>
      <c r="B31" s="2897"/>
      <c r="C31" s="2870"/>
      <c r="D31" s="2871"/>
      <c r="E31" s="2872"/>
      <c r="F31" s="2872"/>
      <c r="G31" s="2872"/>
      <c r="H31" s="2872"/>
      <c r="I31" s="2872"/>
      <c r="J31" s="2898">
        <f>IF(C31="",0,HLOOKUP(C31,'Part V-Utility Allowances'!$I$11:$M$22,12))</f>
        <v>0</v>
      </c>
      <c r="K31" s="2874"/>
      <c r="L31" s="537">
        <f t="shared" si="0"/>
        <v>0</v>
      </c>
      <c r="M31" s="537">
        <f t="shared" si="1"/>
        <v>0</v>
      </c>
      <c r="N31" s="2713"/>
      <c r="O31" s="2875"/>
      <c r="P31" s="2713"/>
      <c r="Q31" s="2876"/>
      <c r="R31" s="2877"/>
      <c r="S31" s="2878"/>
      <c r="T31" s="3834"/>
      <c r="U31" s="3835"/>
      <c r="V31" s="3835"/>
      <c r="W31" s="3836"/>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8" t="s">
        <v>6738</v>
      </c>
    </row>
    <row r="32" spans="1:380" ht="13.9" customHeight="1">
      <c r="A32" s="108" t="str">
        <f t="shared" si="327"/>
        <v/>
      </c>
      <c r="B32" s="2897"/>
      <c r="C32" s="2870"/>
      <c r="D32" s="2871"/>
      <c r="E32" s="2872"/>
      <c r="F32" s="2872"/>
      <c r="G32" s="2872"/>
      <c r="H32" s="2872"/>
      <c r="I32" s="2872"/>
      <c r="J32" s="2898">
        <f>IF(C32="",0,HLOOKUP(C32,'Part V-Utility Allowances'!$I$11:$M$22,12))</f>
        <v>0</v>
      </c>
      <c r="K32" s="2874"/>
      <c r="L32" s="537">
        <f t="shared" si="0"/>
        <v>0</v>
      </c>
      <c r="M32" s="537">
        <f t="shared" si="1"/>
        <v>0</v>
      </c>
      <c r="N32" s="2713"/>
      <c r="O32" s="2875"/>
      <c r="P32" s="2713"/>
      <c r="Q32" s="2876"/>
      <c r="R32" s="2877"/>
      <c r="S32" s="2878"/>
      <c r="T32" s="3834"/>
      <c r="U32" s="3835"/>
      <c r="V32" s="3835"/>
      <c r="W32" s="3836"/>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8" t="s">
        <v>6739</v>
      </c>
    </row>
    <row r="33" spans="1:380" ht="13.9" customHeight="1">
      <c r="A33" s="108" t="str">
        <f t="shared" si="327"/>
        <v/>
      </c>
      <c r="B33" s="2897"/>
      <c r="C33" s="2870"/>
      <c r="D33" s="2871"/>
      <c r="E33" s="2872"/>
      <c r="F33" s="2872"/>
      <c r="G33" s="2872"/>
      <c r="H33" s="2872"/>
      <c r="I33" s="2872"/>
      <c r="J33" s="2898">
        <f>IF(C33="",0,HLOOKUP(C33,'Part V-Utility Allowances'!$I$11:$M$22,12))</f>
        <v>0</v>
      </c>
      <c r="K33" s="2874"/>
      <c r="L33" s="537">
        <f t="shared" si="0"/>
        <v>0</v>
      </c>
      <c r="M33" s="537">
        <f t="shared" si="1"/>
        <v>0</v>
      </c>
      <c r="N33" s="2713"/>
      <c r="O33" s="2875"/>
      <c r="P33" s="2713"/>
      <c r="Q33" s="2876"/>
      <c r="R33" s="2877"/>
      <c r="S33" s="2878"/>
      <c r="T33" s="3834"/>
      <c r="U33" s="3835"/>
      <c r="V33" s="3835"/>
      <c r="W33" s="3836"/>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8" t="s">
        <v>6740</v>
      </c>
    </row>
    <row r="34" spans="1:380" ht="13.9" customHeight="1">
      <c r="A34" s="108" t="str">
        <f t="shared" si="327"/>
        <v/>
      </c>
      <c r="B34" s="2897"/>
      <c r="C34" s="2870"/>
      <c r="D34" s="2871"/>
      <c r="E34" s="2872"/>
      <c r="F34" s="2872"/>
      <c r="G34" s="2872"/>
      <c r="H34" s="2872"/>
      <c r="I34" s="2872"/>
      <c r="J34" s="2898">
        <f>IF(C34="",0,HLOOKUP(C34,'Part V-Utility Allowances'!$I$11:$M$22,12))</f>
        <v>0</v>
      </c>
      <c r="K34" s="2874"/>
      <c r="L34" s="537">
        <f t="shared" si="0"/>
        <v>0</v>
      </c>
      <c r="M34" s="537">
        <f t="shared" si="1"/>
        <v>0</v>
      </c>
      <c r="N34" s="2713"/>
      <c r="O34" s="2875"/>
      <c r="P34" s="2713"/>
      <c r="Q34" s="2876"/>
      <c r="R34" s="2877"/>
      <c r="S34" s="2878"/>
      <c r="T34" s="3834"/>
      <c r="U34" s="3835"/>
      <c r="V34" s="3835"/>
      <c r="W34" s="3836"/>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8" t="s">
        <v>6741</v>
      </c>
    </row>
    <row r="35" spans="1:380" ht="13.9" customHeight="1">
      <c r="A35" s="108" t="str">
        <f t="shared" si="327"/>
        <v/>
      </c>
      <c r="B35" s="2897"/>
      <c r="C35" s="2870"/>
      <c r="D35" s="2871"/>
      <c r="E35" s="2872"/>
      <c r="F35" s="2872"/>
      <c r="G35" s="2872"/>
      <c r="H35" s="2872"/>
      <c r="I35" s="2872"/>
      <c r="J35" s="2898">
        <f>IF(C35="",0,HLOOKUP(C35,'Part V-Utility Allowances'!$I$11:$M$22,12))</f>
        <v>0</v>
      </c>
      <c r="K35" s="2874"/>
      <c r="L35" s="537">
        <f t="shared" si="0"/>
        <v>0</v>
      </c>
      <c r="M35" s="537">
        <f t="shared" si="1"/>
        <v>0</v>
      </c>
      <c r="N35" s="2713"/>
      <c r="O35" s="2875"/>
      <c r="P35" s="2713"/>
      <c r="Q35" s="2876"/>
      <c r="R35" s="2877"/>
      <c r="S35" s="2878"/>
      <c r="T35" s="3834"/>
      <c r="U35" s="3835"/>
      <c r="V35" s="3835"/>
      <c r="W35" s="3836"/>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8" t="s">
        <v>6742</v>
      </c>
    </row>
    <row r="36" spans="1:380" ht="13.9" customHeight="1">
      <c r="A36" s="108" t="str">
        <f t="shared" si="327"/>
        <v/>
      </c>
      <c r="B36" s="2897"/>
      <c r="C36" s="2870"/>
      <c r="D36" s="2871"/>
      <c r="E36" s="2872"/>
      <c r="F36" s="2872"/>
      <c r="G36" s="2872"/>
      <c r="H36" s="2872"/>
      <c r="I36" s="2872"/>
      <c r="J36" s="2898">
        <f>IF(C36="",0,HLOOKUP(C36,'Part V-Utility Allowances'!$I$11:$M$22,12))</f>
        <v>0</v>
      </c>
      <c r="K36" s="2874"/>
      <c r="L36" s="537">
        <f t="shared" si="0"/>
        <v>0</v>
      </c>
      <c r="M36" s="537">
        <f t="shared" si="1"/>
        <v>0</v>
      </c>
      <c r="N36" s="2713"/>
      <c r="O36" s="2875"/>
      <c r="P36" s="2713"/>
      <c r="Q36" s="2876"/>
      <c r="R36" s="2877"/>
      <c r="S36" s="2878"/>
      <c r="T36" s="3834"/>
      <c r="U36" s="3835"/>
      <c r="V36" s="3835"/>
      <c r="W36" s="3836"/>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8" t="s">
        <v>6743</v>
      </c>
    </row>
    <row r="37" spans="1:380" ht="13.9" customHeight="1">
      <c r="A37" s="108" t="str">
        <f t="shared" si="327"/>
        <v/>
      </c>
      <c r="B37" s="2897"/>
      <c r="C37" s="2870"/>
      <c r="D37" s="2871"/>
      <c r="E37" s="2872"/>
      <c r="F37" s="2872"/>
      <c r="G37" s="2872"/>
      <c r="H37" s="2872"/>
      <c r="I37" s="2872"/>
      <c r="J37" s="2898">
        <f>IF(C37="",0,HLOOKUP(C37,'Part V-Utility Allowances'!$I$11:$M$22,12))</f>
        <v>0</v>
      </c>
      <c r="K37" s="2874"/>
      <c r="L37" s="537">
        <f t="shared" si="0"/>
        <v>0</v>
      </c>
      <c r="M37" s="537">
        <f t="shared" si="1"/>
        <v>0</v>
      </c>
      <c r="N37" s="2713"/>
      <c r="O37" s="2875"/>
      <c r="P37" s="2713"/>
      <c r="Q37" s="2876"/>
      <c r="R37" s="2877"/>
      <c r="S37" s="2878"/>
      <c r="T37" s="3834"/>
      <c r="U37" s="3835"/>
      <c r="V37" s="3835"/>
      <c r="W37" s="3836"/>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8" t="s">
        <v>6744</v>
      </c>
    </row>
    <row r="38" spans="1:380" ht="13.9" customHeight="1">
      <c r="A38" s="108" t="str">
        <f t="shared" si="327"/>
        <v/>
      </c>
      <c r="B38" s="2897"/>
      <c r="C38" s="2870"/>
      <c r="D38" s="2871"/>
      <c r="E38" s="2872"/>
      <c r="F38" s="2872"/>
      <c r="G38" s="2872"/>
      <c r="H38" s="2872"/>
      <c r="I38" s="2872"/>
      <c r="J38" s="2898">
        <f>IF(C38="",0,HLOOKUP(C38,'Part V-Utility Allowances'!$I$11:$M$22,12))</f>
        <v>0</v>
      </c>
      <c r="K38" s="2874"/>
      <c r="L38" s="537">
        <f t="shared" si="0"/>
        <v>0</v>
      </c>
      <c r="M38" s="537">
        <f t="shared" si="1"/>
        <v>0</v>
      </c>
      <c r="N38" s="2713"/>
      <c r="O38" s="2875"/>
      <c r="P38" s="2713"/>
      <c r="Q38" s="2876"/>
      <c r="R38" s="2877"/>
      <c r="S38" s="2878"/>
      <c r="T38" s="3834"/>
      <c r="U38" s="3835"/>
      <c r="V38" s="3835"/>
      <c r="W38" s="3836"/>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8" t="s">
        <v>6745</v>
      </c>
    </row>
    <row r="39" spans="1:380" ht="13.9" customHeight="1">
      <c r="A39" s="108" t="str">
        <f t="shared" si="327"/>
        <v/>
      </c>
      <c r="B39" s="2897"/>
      <c r="C39" s="2870"/>
      <c r="D39" s="2871"/>
      <c r="E39" s="2872"/>
      <c r="F39" s="2872"/>
      <c r="G39" s="2872"/>
      <c r="H39" s="2872"/>
      <c r="I39" s="2872"/>
      <c r="J39" s="2898">
        <f>IF(C39="",0,HLOOKUP(C39,'Part V-Utility Allowances'!$I$11:$M$22,12))</f>
        <v>0</v>
      </c>
      <c r="K39" s="2874"/>
      <c r="L39" s="537">
        <f t="shared" si="0"/>
        <v>0</v>
      </c>
      <c r="M39" s="537">
        <f t="shared" si="1"/>
        <v>0</v>
      </c>
      <c r="N39" s="2713"/>
      <c r="O39" s="2875"/>
      <c r="P39" s="2713"/>
      <c r="Q39" s="2876"/>
      <c r="R39" s="2877"/>
      <c r="S39" s="2878"/>
      <c r="T39" s="3834"/>
      <c r="U39" s="3835"/>
      <c r="V39" s="3835"/>
      <c r="W39" s="3836"/>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8" t="s">
        <v>6746</v>
      </c>
    </row>
    <row r="40" spans="1:380" ht="13.9" customHeight="1">
      <c r="A40" s="108" t="str">
        <f t="shared" si="327"/>
        <v/>
      </c>
      <c r="B40" s="2897"/>
      <c r="C40" s="2870"/>
      <c r="D40" s="2871"/>
      <c r="E40" s="2872"/>
      <c r="F40" s="2872"/>
      <c r="G40" s="2872"/>
      <c r="H40" s="2872"/>
      <c r="I40" s="2872"/>
      <c r="J40" s="2898">
        <f>IF(C40="",0,HLOOKUP(C40,'Part V-Utility Allowances'!$I$11:$M$22,12))</f>
        <v>0</v>
      </c>
      <c r="K40" s="2874"/>
      <c r="L40" s="537">
        <f t="shared" si="0"/>
        <v>0</v>
      </c>
      <c r="M40" s="537">
        <f t="shared" si="1"/>
        <v>0</v>
      </c>
      <c r="N40" s="2713"/>
      <c r="O40" s="2875"/>
      <c r="P40" s="2713"/>
      <c r="Q40" s="2876"/>
      <c r="R40" s="2877"/>
      <c r="S40" s="2878"/>
      <c r="T40" s="3834"/>
      <c r="U40" s="3835"/>
      <c r="V40" s="3835"/>
      <c r="W40" s="3836"/>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8" t="s">
        <v>6747</v>
      </c>
    </row>
    <row r="41" spans="1:380" ht="13.9" customHeight="1">
      <c r="A41" s="108" t="str">
        <f t="shared" si="327"/>
        <v/>
      </c>
      <c r="B41" s="2897"/>
      <c r="C41" s="2870"/>
      <c r="D41" s="2871"/>
      <c r="E41" s="2872"/>
      <c r="F41" s="2872"/>
      <c r="G41" s="2872"/>
      <c r="H41" s="2872"/>
      <c r="I41" s="2872"/>
      <c r="J41" s="2898">
        <f>IF(C41="",0,HLOOKUP(C41,'Part V-Utility Allowances'!$I$11:$M$22,12))</f>
        <v>0</v>
      </c>
      <c r="K41" s="2874"/>
      <c r="L41" s="537">
        <f t="shared" si="0"/>
        <v>0</v>
      </c>
      <c r="M41" s="537">
        <f t="shared" si="1"/>
        <v>0</v>
      </c>
      <c r="N41" s="2713"/>
      <c r="O41" s="2875"/>
      <c r="P41" s="2713"/>
      <c r="Q41" s="2876"/>
      <c r="R41" s="2877"/>
      <c r="S41" s="2878"/>
      <c r="T41" s="3834"/>
      <c r="U41" s="3835"/>
      <c r="V41" s="3835"/>
      <c r="W41" s="3836"/>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8" t="s">
        <v>6748</v>
      </c>
    </row>
    <row r="42" spans="1:380" ht="13.9" customHeight="1">
      <c r="A42" s="108" t="str">
        <f t="shared" si="327"/>
        <v/>
      </c>
      <c r="B42" s="2897"/>
      <c r="C42" s="2870"/>
      <c r="D42" s="2871"/>
      <c r="E42" s="2872"/>
      <c r="F42" s="2872"/>
      <c r="G42" s="2872"/>
      <c r="H42" s="2872"/>
      <c r="I42" s="2872"/>
      <c r="J42" s="2898">
        <f>IF(C42="",0,HLOOKUP(C42,'Part V-Utility Allowances'!$I$11:$M$22,12))</f>
        <v>0</v>
      </c>
      <c r="K42" s="2874"/>
      <c r="L42" s="537">
        <f t="shared" si="0"/>
        <v>0</v>
      </c>
      <c r="M42" s="537">
        <f t="shared" si="1"/>
        <v>0</v>
      </c>
      <c r="N42" s="2713"/>
      <c r="O42" s="2875"/>
      <c r="P42" s="2713"/>
      <c r="Q42" s="2876"/>
      <c r="R42" s="2877"/>
      <c r="S42" s="2878"/>
      <c r="T42" s="3834"/>
      <c r="U42" s="3835"/>
      <c r="V42" s="3835"/>
      <c r="W42" s="3836"/>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8" t="s">
        <v>6749</v>
      </c>
    </row>
    <row r="43" spans="1:380" ht="13.9" customHeight="1">
      <c r="A43" s="108" t="str">
        <f t="shared" si="327"/>
        <v/>
      </c>
      <c r="B43" s="2897"/>
      <c r="C43" s="2870"/>
      <c r="D43" s="2871"/>
      <c r="E43" s="2872"/>
      <c r="F43" s="2872"/>
      <c r="G43" s="2872"/>
      <c r="H43" s="2872"/>
      <c r="I43" s="2872"/>
      <c r="J43" s="2898">
        <f>IF(C43="",0,HLOOKUP(C43,'Part V-Utility Allowances'!$I$11:$M$22,12))</f>
        <v>0</v>
      </c>
      <c r="K43" s="2874"/>
      <c r="L43" s="537">
        <f t="shared" si="0"/>
        <v>0</v>
      </c>
      <c r="M43" s="537">
        <f t="shared" si="1"/>
        <v>0</v>
      </c>
      <c r="N43" s="2713"/>
      <c r="O43" s="2875"/>
      <c r="P43" s="2713"/>
      <c r="Q43" s="2876"/>
      <c r="R43" s="2877"/>
      <c r="S43" s="2878"/>
      <c r="T43" s="3834"/>
      <c r="U43" s="3835"/>
      <c r="V43" s="3835"/>
      <c r="W43" s="3836"/>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8" t="s">
        <v>6750</v>
      </c>
    </row>
    <row r="44" spans="1:380" ht="13.9" customHeight="1">
      <c r="A44" s="108" t="str">
        <f t="shared" si="327"/>
        <v/>
      </c>
      <c r="B44" s="2897"/>
      <c r="C44" s="2870"/>
      <c r="D44" s="2871"/>
      <c r="E44" s="2872"/>
      <c r="F44" s="2872"/>
      <c r="G44" s="2872"/>
      <c r="H44" s="2872"/>
      <c r="I44" s="2872"/>
      <c r="J44" s="2898">
        <f>IF(C44="",0,HLOOKUP(C44,'Part V-Utility Allowances'!$I$11:$M$22,12))</f>
        <v>0</v>
      </c>
      <c r="K44" s="2874"/>
      <c r="L44" s="537">
        <f t="shared" si="0"/>
        <v>0</v>
      </c>
      <c r="M44" s="537">
        <f t="shared" si="1"/>
        <v>0</v>
      </c>
      <c r="N44" s="2713"/>
      <c r="O44" s="2875"/>
      <c r="P44" s="2713"/>
      <c r="Q44" s="2876"/>
      <c r="R44" s="2877"/>
      <c r="S44" s="2878"/>
      <c r="T44" s="3834"/>
      <c r="U44" s="3835"/>
      <c r="V44" s="3835"/>
      <c r="W44" s="3836"/>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8" t="s">
        <v>6751</v>
      </c>
    </row>
    <row r="45" spans="1:380" ht="13.9" customHeight="1">
      <c r="A45" s="108" t="str">
        <f t="shared" si="327"/>
        <v/>
      </c>
      <c r="B45" s="2897"/>
      <c r="C45" s="2870"/>
      <c r="D45" s="2871"/>
      <c r="E45" s="2872"/>
      <c r="F45" s="2872"/>
      <c r="G45" s="2872"/>
      <c r="H45" s="2872"/>
      <c r="I45" s="2872"/>
      <c r="J45" s="2898">
        <f>IF(C45="",0,HLOOKUP(C45,'Part V-Utility Allowances'!$I$11:$M$22,12))</f>
        <v>0</v>
      </c>
      <c r="K45" s="2874"/>
      <c r="L45" s="537">
        <f t="shared" si="0"/>
        <v>0</v>
      </c>
      <c r="M45" s="537">
        <f t="shared" si="1"/>
        <v>0</v>
      </c>
      <c r="N45" s="2713"/>
      <c r="O45" s="2875"/>
      <c r="P45" s="2713"/>
      <c r="Q45" s="2876"/>
      <c r="R45" s="2877"/>
      <c r="S45" s="2878"/>
      <c r="T45" s="3834"/>
      <c r="U45" s="3835"/>
      <c r="V45" s="3835"/>
      <c r="W45" s="3836"/>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8" t="s">
        <v>6752</v>
      </c>
    </row>
    <row r="46" spans="1:380" ht="13.9" customHeight="1">
      <c r="A46" s="108" t="str">
        <f t="shared" si="327"/>
        <v/>
      </c>
      <c r="B46" s="2897"/>
      <c r="C46" s="2870"/>
      <c r="D46" s="2871"/>
      <c r="E46" s="2872"/>
      <c r="F46" s="2872"/>
      <c r="G46" s="2872"/>
      <c r="H46" s="2872"/>
      <c r="I46" s="2872"/>
      <c r="J46" s="2898">
        <f>IF(C46="",0,HLOOKUP(C46,'Part V-Utility Allowances'!$I$11:$M$22,12))</f>
        <v>0</v>
      </c>
      <c r="K46" s="2874"/>
      <c r="L46" s="537">
        <f t="shared" si="0"/>
        <v>0</v>
      </c>
      <c r="M46" s="537">
        <f t="shared" si="1"/>
        <v>0</v>
      </c>
      <c r="N46" s="2713"/>
      <c r="O46" s="2875"/>
      <c r="P46" s="2713"/>
      <c r="Q46" s="2876"/>
      <c r="R46" s="2877"/>
      <c r="S46" s="2878"/>
      <c r="T46" s="3834"/>
      <c r="U46" s="3835"/>
      <c r="V46" s="3835"/>
      <c r="W46" s="3836"/>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8" t="s">
        <v>6753</v>
      </c>
    </row>
    <row r="47" spans="1:380" ht="13.9" customHeight="1">
      <c r="A47" s="108" t="str">
        <f t="shared" si="327"/>
        <v/>
      </c>
      <c r="B47" s="2897"/>
      <c r="C47" s="2870"/>
      <c r="D47" s="2871"/>
      <c r="E47" s="2872"/>
      <c r="F47" s="2872"/>
      <c r="G47" s="2872"/>
      <c r="H47" s="2872"/>
      <c r="I47" s="2872"/>
      <c r="J47" s="2898">
        <f>IF(C47="",0,HLOOKUP(C47,'Part V-Utility Allowances'!$I$11:$M$22,12))</f>
        <v>0</v>
      </c>
      <c r="K47" s="2874"/>
      <c r="L47" s="537">
        <f t="shared" si="0"/>
        <v>0</v>
      </c>
      <c r="M47" s="537">
        <f t="shared" si="1"/>
        <v>0</v>
      </c>
      <c r="N47" s="2713"/>
      <c r="O47" s="2875"/>
      <c r="P47" s="2713"/>
      <c r="Q47" s="2876"/>
      <c r="R47" s="2877"/>
      <c r="S47" s="2878"/>
      <c r="T47" s="3834"/>
      <c r="U47" s="3835"/>
      <c r="V47" s="3835"/>
      <c r="W47" s="3836"/>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8" t="s">
        <v>6754</v>
      </c>
    </row>
    <row r="48" spans="1:380" ht="13.9" customHeight="1">
      <c r="A48" s="108" t="str">
        <f t="shared" si="327"/>
        <v/>
      </c>
      <c r="B48" s="2899"/>
      <c r="C48" s="2900"/>
      <c r="D48" s="2901"/>
      <c r="E48" s="2902"/>
      <c r="F48" s="2902"/>
      <c r="G48" s="2902"/>
      <c r="H48" s="2902"/>
      <c r="I48" s="2902"/>
      <c r="J48" s="2903">
        <f>IF(C48="",0,HLOOKUP(C48,'Part V-Utility Allowances'!$I$11:$M$22,12))</f>
        <v>0</v>
      </c>
      <c r="K48" s="2904"/>
      <c r="L48" s="538">
        <f t="shared" si="0"/>
        <v>0</v>
      </c>
      <c r="M48" s="538">
        <f t="shared" si="1"/>
        <v>0</v>
      </c>
      <c r="N48" s="2714"/>
      <c r="O48" s="2610"/>
      <c r="P48" s="2714"/>
      <c r="Q48" s="2905"/>
      <c r="R48" s="2906"/>
      <c r="S48" s="2907"/>
      <c r="T48" s="3840"/>
      <c r="U48" s="3841"/>
      <c r="V48" s="3841"/>
      <c r="W48" s="3842"/>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8" t="s">
        <v>6755</v>
      </c>
    </row>
    <row r="49" spans="1:380" s="146" customFormat="1" ht="13.9" customHeight="1">
      <c r="A49" s="1500">
        <f>COUNT(A11,A12,A13,A14,A15,A16,A17,A18,A19,A20,A21,A22,A23,A24,A25,A26,A27,A28,A29,A30,A31,A32,A33,A34,A35,A36,A37,A38,A39,A40)</f>
        <v>0</v>
      </c>
      <c r="B49" s="3910" t="s">
        <v>3922</v>
      </c>
      <c r="C49" s="3911"/>
      <c r="D49" s="137" t="s">
        <v>979</v>
      </c>
      <c r="E49" s="1194">
        <f>SUM(E11:E48)</f>
        <v>72</v>
      </c>
      <c r="F49" s="1192">
        <f>(E11*F11+E12*F12+E13*F13+E14*F14+E15*F15+E16*F16+E17*F17+E18*F18+E19*F19+E20*F20+E21*F21+E22*F22+E23*F23+E24*F24+E25*F25+E26*F26+E27*F27+E28*F28+E29*F29+E30*F30+E31*F31+E32*F32+E33*F33+E34*F34+E35*F35+E36*F36+E37*F37+E38*F38+E39*F39+E40*F40+E41*F41+E42*F42+E43*F43+E44*F44+E45*F45+E46*F46+E47*F47+E48*F48)</f>
        <v>65584</v>
      </c>
      <c r="H49" s="3846" t="s">
        <v>3919</v>
      </c>
      <c r="I49" s="2908" t="s">
        <v>3920</v>
      </c>
      <c r="J49" s="1195" t="str">
        <f>IF(P67=0,"",IF(SUM(P58:P62)/P67&gt;=0.4,"Pass","Fail"))</f>
        <v>Pass</v>
      </c>
      <c r="K49" s="521"/>
      <c r="L49" s="794" t="s">
        <v>1254</v>
      </c>
      <c r="M49" s="122">
        <f>SUM(M11:M48)</f>
        <v>47330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10</v>
      </c>
      <c r="AJ49" s="1816">
        <f t="shared" si="339"/>
        <v>28</v>
      </c>
      <c r="AK49" s="1816">
        <f t="shared" si="339"/>
        <v>10</v>
      </c>
      <c r="AL49" s="1816">
        <f t="shared" si="339"/>
        <v>0</v>
      </c>
      <c r="AM49" s="1816">
        <f>SUM(AM11:AM48)</f>
        <v>0</v>
      </c>
      <c r="AN49" s="1816">
        <f>SUM(AN11:AN48)</f>
        <v>4</v>
      </c>
      <c r="AO49" s="1816">
        <f>SUM(AO11:AO48)</f>
        <v>8</v>
      </c>
      <c r="AP49" s="1816">
        <f>SUM(AP11:AP48)</f>
        <v>4</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2</v>
      </c>
      <c r="BI49" s="1816">
        <f t="shared" si="338"/>
        <v>4</v>
      </c>
      <c r="BJ49" s="1816">
        <f t="shared" si="338"/>
        <v>2</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6680</v>
      </c>
      <c r="EU49" s="1816">
        <f t="shared" si="342"/>
        <v>26040</v>
      </c>
      <c r="EV49" s="1816">
        <f t="shared" si="342"/>
        <v>11060</v>
      </c>
      <c r="EW49" s="1816">
        <f t="shared" si="342"/>
        <v>0</v>
      </c>
      <c r="EX49" s="1816">
        <f t="shared" si="338"/>
        <v>0</v>
      </c>
      <c r="EY49" s="1816">
        <f t="shared" si="338"/>
        <v>2672</v>
      </c>
      <c r="EZ49" s="1816">
        <f t="shared" si="338"/>
        <v>7440</v>
      </c>
      <c r="FA49" s="1816">
        <f t="shared" si="338"/>
        <v>4424</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1336</v>
      </c>
      <c r="FT49" s="1816">
        <f t="shared" si="343"/>
        <v>3720</v>
      </c>
      <c r="FU49" s="1816">
        <f t="shared" si="343"/>
        <v>2212</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14</v>
      </c>
      <c r="GI49" s="1816">
        <f t="shared" si="343"/>
        <v>36</v>
      </c>
      <c r="GJ49" s="1816">
        <f t="shared" si="343"/>
        <v>14</v>
      </c>
      <c r="GK49" s="1816">
        <f t="shared" si="343"/>
        <v>0</v>
      </c>
      <c r="GL49" s="1816">
        <f t="shared" si="343"/>
        <v>0</v>
      </c>
      <c r="GM49" s="1816">
        <f t="shared" si="343"/>
        <v>2</v>
      </c>
      <c r="GN49" s="1816">
        <f t="shared" si="343"/>
        <v>4</v>
      </c>
      <c r="GO49" s="1816">
        <f t="shared" si="343"/>
        <v>2</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16</v>
      </c>
      <c r="IB49" s="1816">
        <f t="shared" si="344"/>
        <v>40</v>
      </c>
      <c r="IC49" s="1816">
        <f t="shared" si="344"/>
        <v>16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16</v>
      </c>
      <c r="KO49" s="1816">
        <f t="shared" si="347"/>
        <v>40</v>
      </c>
      <c r="KP49" s="1816">
        <f t="shared" si="347"/>
        <v>16</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16</v>
      </c>
      <c r="MM49" s="1816">
        <f t="shared" si="350"/>
        <v>40</v>
      </c>
      <c r="MN49" s="1816">
        <f t="shared" si="350"/>
        <v>16</v>
      </c>
      <c r="MO49" s="1816">
        <f t="shared" si="350"/>
        <v>0</v>
      </c>
      <c r="MP49" s="1816">
        <f t="shared" si="350"/>
        <v>0</v>
      </c>
      <c r="MQ49" s="1816">
        <f t="shared" si="350"/>
        <v>0</v>
      </c>
      <c r="MR49" s="1816">
        <f t="shared" si="350"/>
        <v>0</v>
      </c>
      <c r="MS49" s="1816">
        <f t="shared" si="350"/>
        <v>0</v>
      </c>
      <c r="MT49" s="1816">
        <f t="shared" si="350"/>
        <v>0</v>
      </c>
      <c r="MU49" s="1816">
        <f t="shared" si="350"/>
        <v>0</v>
      </c>
      <c r="NP49" s="2808" t="s">
        <v>6756</v>
      </c>
    </row>
    <row r="50" spans="1:380" s="146" customFormat="1" ht="13.9" customHeight="1">
      <c r="B50" s="3912">
        <f>IF(SUM(E18:E48)=0,"",(B18*E18+B19*E19+B20*E20+B21*E21+B22*E22+B23*E23+B24*E24+B25*E25+B26*E26+B27*E27+B28*E28+B29*E29+B30*E30+B31*E31+B32*E32+B33*E33+B34*E34+B35*E35+B36*E36+B37*E37+B38*E38+B39*E39+B40*E40+B41*E41+B42*E42+B43*E43+B44*E44+B45*E45+B46*E46+B47*E47+B48*E48)/SUM(E18:E48))</f>
        <v>57.5</v>
      </c>
      <c r="C50" s="3913"/>
      <c r="D50" s="2649" t="s">
        <v>3829</v>
      </c>
      <c r="E50" s="1191">
        <f>SUM(E18:E48)</f>
        <v>64</v>
      </c>
      <c r="F50" s="1193">
        <f>(E18*F18+E19*F19+E20*F20+E21*F21+E22*F22+E23*F23+E24*F24+E25*F25+E26*F26+E27*F27+E28*F28+E29*F29+E30*F30+E31*F31+E32*F32+E33*F33+E34*F34+E35*F35+E36*F36+E37*F37+E38*F38+E39*F39+E40*F40+E41*F41+E42*F42+E43*F43+E44*F44+E45*F45+E46*F46+E47*F47+E48*F48)</f>
        <v>58316</v>
      </c>
      <c r="H50" s="3847"/>
      <c r="I50" s="2909" t="s">
        <v>3921</v>
      </c>
      <c r="J50" s="1196" t="str">
        <f>IF(P67=0,"",IF(SUM(P59:P62)/P67&gt;=0.2,"Pass","Fail"))</f>
        <v>Pass</v>
      </c>
      <c r="K50" s="521"/>
      <c r="L50" s="137" t="s">
        <v>781</v>
      </c>
      <c r="M50" s="122">
        <f>M49*12</f>
        <v>567960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8" t="s">
        <v>6757</v>
      </c>
    </row>
    <row r="51" spans="1:380" ht="12" customHeight="1">
      <c r="A51" s="3932" t="s">
        <v>2496</v>
      </c>
      <c r="B51" s="3933"/>
      <c r="C51" s="3933"/>
      <c r="D51" s="3933"/>
      <c r="E51" s="3933"/>
      <c r="F51" s="3933"/>
      <c r="G51" s="3933"/>
      <c r="H51" s="3933"/>
      <c r="I51" s="3933"/>
      <c r="J51" s="3933"/>
      <c r="K51" s="3933"/>
      <c r="L51" s="3933"/>
      <c r="M51" s="3933"/>
      <c r="N51" s="3933"/>
      <c r="O51" s="3933"/>
      <c r="P51" s="3933"/>
      <c r="Q51" s="3933"/>
      <c r="R51" s="2910"/>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3"/>
      <c r="B52" s="3933"/>
      <c r="C52" s="3933"/>
      <c r="D52" s="3933"/>
      <c r="E52" s="3933"/>
      <c r="F52" s="3933"/>
      <c r="G52" s="3933"/>
      <c r="H52" s="3933"/>
      <c r="I52" s="3933"/>
      <c r="J52" s="3933"/>
      <c r="K52" s="3933"/>
      <c r="L52" s="3933"/>
      <c r="M52" s="3933"/>
      <c r="N52" s="3933"/>
      <c r="O52" s="3933"/>
      <c r="P52" s="3933"/>
      <c r="Q52" s="3933"/>
      <c r="R52" s="2910"/>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3" t="str">
        <f>'Part I-Project Information'!$K$94</f>
        <v>40% of Units at 60% of AMI</v>
      </c>
      <c r="M53" s="3844"/>
      <c r="N53" s="3844"/>
      <c r="O53" s="3845"/>
      <c r="P53" s="82"/>
      <c r="S53" s="3858" t="str">
        <f>B53</f>
        <v>UNIT SUMMARY</v>
      </c>
      <c r="T53" s="3858"/>
      <c r="U53" s="3858"/>
      <c r="V53" s="3858"/>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6822</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1" t="s">
        <v>4284</v>
      </c>
      <c r="B56" s="3851"/>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930" t="s">
        <v>3308</v>
      </c>
      <c r="R56" s="2660"/>
      <c r="S56" s="3855"/>
      <c r="T56" s="3856"/>
      <c r="U56" s="3856"/>
      <c r="V56" s="3856"/>
      <c r="W56" s="3857"/>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1"/>
      <c r="B57" s="3851"/>
      <c r="C57" s="93"/>
      <c r="D57" s="1"/>
      <c r="E57" s="1"/>
      <c r="F57" s="1"/>
      <c r="G57" s="82"/>
      <c r="H57" s="109" t="s">
        <v>3831</v>
      </c>
      <c r="I57" s="36"/>
      <c r="J57" s="82"/>
      <c r="K57" s="1203">
        <f>AC49</f>
        <v>0</v>
      </c>
      <c r="L57" s="1204">
        <f>AD49</f>
        <v>0</v>
      </c>
      <c r="M57" s="1204">
        <f>AE49</f>
        <v>0</v>
      </c>
      <c r="N57" s="1204">
        <f>AF49</f>
        <v>0</v>
      </c>
      <c r="O57" s="1205">
        <f>AG49</f>
        <v>0</v>
      </c>
      <c r="P57" s="833">
        <f t="shared" si="351"/>
        <v>0</v>
      </c>
      <c r="Q57" s="3930"/>
      <c r="R57" s="2660"/>
      <c r="S57" s="3834"/>
      <c r="T57" s="3835"/>
      <c r="U57" s="3835"/>
      <c r="V57" s="3835"/>
      <c r="W57" s="3836"/>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1"/>
      <c r="B58" s="3851"/>
      <c r="C58" s="93"/>
      <c r="D58" s="1"/>
      <c r="E58" s="1"/>
      <c r="F58" s="1"/>
      <c r="G58" s="82"/>
      <c r="H58" s="109" t="s">
        <v>1107</v>
      </c>
      <c r="I58" s="36"/>
      <c r="J58" s="82"/>
      <c r="K58" s="1203">
        <f>AH49</f>
        <v>0</v>
      </c>
      <c r="L58" s="1204">
        <f>AI49</f>
        <v>10</v>
      </c>
      <c r="M58" s="1204">
        <f>AJ49</f>
        <v>28</v>
      </c>
      <c r="N58" s="1204">
        <f>AK49</f>
        <v>10</v>
      </c>
      <c r="O58" s="1205">
        <f>AL49</f>
        <v>0</v>
      </c>
      <c r="P58" s="833">
        <f t="shared" si="351"/>
        <v>48</v>
      </c>
      <c r="Q58" s="3930"/>
      <c r="R58" s="2660"/>
      <c r="S58" s="3834"/>
      <c r="T58" s="3835"/>
      <c r="U58" s="3835"/>
      <c r="V58" s="3835"/>
      <c r="W58" s="3836"/>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1"/>
      <c r="B59" s="3851"/>
      <c r="C59" s="93"/>
      <c r="D59" s="1"/>
      <c r="E59" s="1"/>
      <c r="F59" s="1"/>
      <c r="G59" s="82"/>
      <c r="H59" s="102" t="s">
        <v>111</v>
      </c>
      <c r="I59" s="52"/>
      <c r="J59" s="982"/>
      <c r="K59" s="1224">
        <f>AM49</f>
        <v>0</v>
      </c>
      <c r="L59" s="1225">
        <f>AN49</f>
        <v>4</v>
      </c>
      <c r="M59" s="1225">
        <f>AO49</f>
        <v>8</v>
      </c>
      <c r="N59" s="1225">
        <f>AP49</f>
        <v>4</v>
      </c>
      <c r="O59" s="1226">
        <f>AQ49</f>
        <v>0</v>
      </c>
      <c r="P59" s="542">
        <f t="shared" si="351"/>
        <v>16</v>
      </c>
      <c r="Q59" s="3930"/>
      <c r="R59" s="2660"/>
      <c r="S59" s="3834"/>
      <c r="T59" s="3835"/>
      <c r="U59" s="3835"/>
      <c r="V59" s="3835"/>
      <c r="W59" s="3836"/>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1"/>
      <c r="B60" s="3851"/>
      <c r="C60" s="93"/>
      <c r="D60" s="1"/>
      <c r="E60" s="1"/>
      <c r="F60" s="1"/>
      <c r="G60" s="82"/>
      <c r="H60" s="102" t="s">
        <v>3832</v>
      </c>
      <c r="I60" s="52"/>
      <c r="J60" s="982"/>
      <c r="K60" s="1203">
        <f>AR49</f>
        <v>0</v>
      </c>
      <c r="L60" s="1204">
        <f>AS49</f>
        <v>0</v>
      </c>
      <c r="M60" s="1204">
        <f>AT49</f>
        <v>0</v>
      </c>
      <c r="N60" s="1204">
        <f>AU49</f>
        <v>0</v>
      </c>
      <c r="O60" s="1205">
        <f>AV49</f>
        <v>0</v>
      </c>
      <c r="P60" s="833">
        <f t="shared" si="351"/>
        <v>0</v>
      </c>
      <c r="Q60" s="3930"/>
      <c r="R60" s="2660"/>
      <c r="S60" s="3834"/>
      <c r="T60" s="3835"/>
      <c r="U60" s="3835"/>
      <c r="V60" s="3835"/>
      <c r="W60" s="3836"/>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1"/>
      <c r="B61" s="3851"/>
      <c r="C61" s="93"/>
      <c r="D61" s="1"/>
      <c r="E61" s="1"/>
      <c r="F61" s="1"/>
      <c r="G61" s="82"/>
      <c r="H61" s="109" t="s">
        <v>3833</v>
      </c>
      <c r="I61" s="36"/>
      <c r="J61" s="82"/>
      <c r="K61" s="1203">
        <f>AW49</f>
        <v>0</v>
      </c>
      <c r="L61" s="1204">
        <f>AX49</f>
        <v>0</v>
      </c>
      <c r="M61" s="1204">
        <f>AY49</f>
        <v>0</v>
      </c>
      <c r="N61" s="1204">
        <f>AZ49</f>
        <v>0</v>
      </c>
      <c r="O61" s="1205">
        <f>BA49</f>
        <v>0</v>
      </c>
      <c r="P61" s="833">
        <f t="shared" si="351"/>
        <v>0</v>
      </c>
      <c r="Q61" s="3930"/>
      <c r="R61" s="2660"/>
      <c r="S61" s="3834"/>
      <c r="T61" s="3835"/>
      <c r="U61" s="3835"/>
      <c r="V61" s="3835"/>
      <c r="W61" s="3836"/>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1"/>
      <c r="B62" s="3851"/>
      <c r="C62" s="4"/>
      <c r="D62" s="1"/>
      <c r="E62" s="1"/>
      <c r="F62" s="1"/>
      <c r="G62" s="82"/>
      <c r="H62" s="109" t="s">
        <v>3834</v>
      </c>
      <c r="I62" s="36"/>
      <c r="J62" s="82"/>
      <c r="K62" s="1206">
        <f>BB49</f>
        <v>0</v>
      </c>
      <c r="L62" s="1207">
        <f>BC49</f>
        <v>0</v>
      </c>
      <c r="M62" s="1207">
        <f>BD49</f>
        <v>0</v>
      </c>
      <c r="N62" s="1207">
        <f>BE49</f>
        <v>0</v>
      </c>
      <c r="O62" s="1208">
        <f>BF49</f>
        <v>0</v>
      </c>
      <c r="P62" s="542">
        <f t="shared" si="351"/>
        <v>0</v>
      </c>
      <c r="Q62" s="3930"/>
      <c r="R62" s="2660"/>
      <c r="S62" s="3834"/>
      <c r="T62" s="3835"/>
      <c r="U62" s="3835"/>
      <c r="V62" s="3835"/>
      <c r="W62" s="3836"/>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1"/>
      <c r="B63" s="3851"/>
      <c r="C63" s="109" t="s">
        <v>3916</v>
      </c>
      <c r="D63" s="1"/>
      <c r="E63" s="1"/>
      <c r="F63" s="1"/>
      <c r="G63" s="82"/>
      <c r="H63" s="89"/>
      <c r="I63" s="55"/>
      <c r="J63" s="82"/>
      <c r="K63" s="1180">
        <f>SUM(K56:K62)</f>
        <v>0</v>
      </c>
      <c r="L63" s="1180">
        <f>SUM(L56:L62)</f>
        <v>14</v>
      </c>
      <c r="M63" s="1180">
        <f>SUM(M56:M62)</f>
        <v>36</v>
      </c>
      <c r="N63" s="1180">
        <f>SUM(N56:N62)</f>
        <v>14</v>
      </c>
      <c r="O63" s="1180">
        <f>SUM(O56:O62)</f>
        <v>0</v>
      </c>
      <c r="P63" s="1180">
        <f t="shared" si="351"/>
        <v>64</v>
      </c>
      <c r="Q63" s="3931"/>
      <c r="S63" s="3834"/>
      <c r="T63" s="3835"/>
      <c r="U63" s="3835"/>
      <c r="V63" s="3835"/>
      <c r="W63" s="3836"/>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1"/>
      <c r="B64" s="3851"/>
      <c r="D64" s="1"/>
      <c r="E64" s="1"/>
      <c r="F64" s="1"/>
      <c r="G64" s="82"/>
      <c r="H64" s="109" t="s">
        <v>292</v>
      </c>
      <c r="I64" s="36"/>
      <c r="J64" s="82"/>
      <c r="K64" s="834">
        <f>BG49</f>
        <v>0</v>
      </c>
      <c r="L64" s="834">
        <f>BH49</f>
        <v>2</v>
      </c>
      <c r="M64" s="834">
        <f>BI49</f>
        <v>4</v>
      </c>
      <c r="N64" s="834">
        <f>BJ49</f>
        <v>2</v>
      </c>
      <c r="O64" s="834">
        <f>BK49</f>
        <v>0</v>
      </c>
      <c r="P64" s="834">
        <f t="shared" si="351"/>
        <v>8</v>
      </c>
      <c r="S64" s="3834"/>
      <c r="T64" s="3835"/>
      <c r="U64" s="3835"/>
      <c r="V64" s="3835"/>
      <c r="W64" s="3836"/>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1"/>
      <c r="B65" s="3851"/>
      <c r="C65" s="1185" t="s">
        <v>1096</v>
      </c>
      <c r="D65" s="1185"/>
      <c r="E65" s="1185"/>
      <c r="F65" s="1185"/>
      <c r="G65" s="1186"/>
      <c r="H65" s="1502"/>
      <c r="I65" s="49"/>
      <c r="J65" s="1186"/>
      <c r="K65" s="1187">
        <f>SUM(K63:K64)</f>
        <v>0</v>
      </c>
      <c r="L65" s="1187">
        <f>SUM(L63:L64)</f>
        <v>16</v>
      </c>
      <c r="M65" s="1187">
        <f>SUM(M63:M64)</f>
        <v>40</v>
      </c>
      <c r="N65" s="1187">
        <f>SUM(N63:N64)</f>
        <v>16</v>
      </c>
      <c r="O65" s="1187">
        <f>SUM(O63:O64)</f>
        <v>0</v>
      </c>
      <c r="P65" s="1187">
        <f t="shared" si="351"/>
        <v>72</v>
      </c>
      <c r="S65" s="3834"/>
      <c r="T65" s="3835"/>
      <c r="U65" s="3835"/>
      <c r="V65" s="3835"/>
      <c r="W65" s="3836"/>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1"/>
      <c r="B66" s="3851"/>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4"/>
      <c r="T66" s="3835"/>
      <c r="U66" s="3835"/>
      <c r="V66" s="3835"/>
      <c r="W66" s="3836"/>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1"/>
      <c r="B67" s="3851"/>
      <c r="C67" s="4" t="s">
        <v>1712</v>
      </c>
      <c r="D67" s="1"/>
      <c r="E67" s="1"/>
      <c r="F67" s="1"/>
      <c r="G67" s="82"/>
      <c r="H67" s="109"/>
      <c r="I67" s="36"/>
      <c r="J67" s="82"/>
      <c r="K67" s="1179">
        <f>SUM(K65:K66)</f>
        <v>0</v>
      </c>
      <c r="L67" s="1179">
        <f>SUM(L65:L66)</f>
        <v>16</v>
      </c>
      <c r="M67" s="1179">
        <f>SUM(M65:M66)</f>
        <v>40</v>
      </c>
      <c r="N67" s="1179">
        <f>SUM(N65:N66)</f>
        <v>16</v>
      </c>
      <c r="O67" s="1179">
        <f>SUM(O65:O66)</f>
        <v>0</v>
      </c>
      <c r="P67" s="1179">
        <f t="shared" si="351"/>
        <v>72</v>
      </c>
      <c r="S67" s="3840"/>
      <c r="T67" s="3841"/>
      <c r="U67" s="3841"/>
      <c r="V67" s="3841"/>
      <c r="W67" s="3842"/>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1"/>
      <c r="B68" s="3851"/>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1"/>
      <c r="B69" s="3851"/>
      <c r="C69" s="3909" t="s">
        <v>3927</v>
      </c>
      <c r="D69" s="3909"/>
      <c r="E69" s="3909"/>
      <c r="F69" s="3909"/>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1"/>
      <c r="B70" s="3851"/>
      <c r="C70" s="3909"/>
      <c r="D70" s="3909"/>
      <c r="E70" s="3909"/>
      <c r="F70" s="3909"/>
      <c r="G70" s="8"/>
      <c r="H70" s="109" t="s">
        <v>3830</v>
      </c>
      <c r="I70" s="36"/>
      <c r="J70" s="1497"/>
      <c r="K70" s="2911" t="str">
        <f t="shared" ref="K70:P70" si="352">IF(OR(K56=0,K67=0),"",K56/K67)</f>
        <v/>
      </c>
      <c r="L70" s="2912" t="str">
        <f t="shared" si="352"/>
        <v/>
      </c>
      <c r="M70" s="2912" t="str">
        <f t="shared" si="352"/>
        <v/>
      </c>
      <c r="N70" s="2912" t="str">
        <f t="shared" si="352"/>
        <v/>
      </c>
      <c r="O70" s="2912" t="str">
        <f t="shared" si="352"/>
        <v/>
      </c>
      <c r="P70" s="2913" t="str">
        <f t="shared" si="352"/>
        <v/>
      </c>
      <c r="Q70" s="40" t="s">
        <v>4276</v>
      </c>
      <c r="S70" s="3855"/>
      <c r="T70" s="3856"/>
      <c r="U70" s="3856"/>
      <c r="V70" s="3856"/>
      <c r="W70" s="3857"/>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1"/>
      <c r="B71" s="3851"/>
      <c r="C71" s="1294"/>
      <c r="D71" s="8"/>
      <c r="E71" s="8"/>
      <c r="F71" s="8"/>
      <c r="G71" s="8"/>
      <c r="H71" s="109" t="s">
        <v>6815</v>
      </c>
      <c r="I71" s="36"/>
      <c r="J71" s="1"/>
      <c r="K71" s="2914" t="str">
        <f>IF(OR(K56=0,P70="",K67=0),"",P70*K67)</f>
        <v/>
      </c>
      <c r="L71" s="2914" t="str">
        <f>IF(OR(L56=0,P70="",L67=0),"",P70*L67)</f>
        <v/>
      </c>
      <c r="M71" s="2914" t="str">
        <f>IF(OR(M56=0,P70="",M67=0),"",P70*M67)</f>
        <v/>
      </c>
      <c r="N71" s="2914" t="str">
        <f>IF(OR(N56=0,P70="",N67=0),"",P70*N67)</f>
        <v/>
      </c>
      <c r="O71" s="2914" t="str">
        <f>IF(OR(O56=0,P70="",O67=0),"",P70*O67)</f>
        <v/>
      </c>
      <c r="P71" s="2915" t="str">
        <f>IF(OR(P70="",P67=0),"",P70*P67)</f>
        <v/>
      </c>
      <c r="S71" s="3834"/>
      <c r="T71" s="3835"/>
      <c r="U71" s="3835"/>
      <c r="V71" s="3835"/>
      <c r="W71" s="3836"/>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6" t="s">
        <v>6816</v>
      </c>
      <c r="I72" s="2917"/>
      <c r="J72" s="1"/>
      <c r="K72" s="2918" t="str">
        <f t="shared" ref="K72:P72" si="353">IF(OR(K71="",K56=0),"", K56-K71)</f>
        <v/>
      </c>
      <c r="L72" s="2919" t="str">
        <f t="shared" si="353"/>
        <v/>
      </c>
      <c r="M72" s="2919" t="str">
        <f t="shared" si="353"/>
        <v/>
      </c>
      <c r="N72" s="2919" t="str">
        <f t="shared" si="353"/>
        <v/>
      </c>
      <c r="O72" s="2919" t="str">
        <f t="shared" si="353"/>
        <v/>
      </c>
      <c r="P72" s="2920" t="str">
        <f t="shared" si="353"/>
        <v/>
      </c>
      <c r="S72" s="3834"/>
      <c r="T72" s="3835"/>
      <c r="U72" s="3835"/>
      <c r="V72" s="3835"/>
      <c r="W72" s="3836"/>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4" t="s">
        <v>4275</v>
      </c>
      <c r="E73" s="3934"/>
      <c r="F73" s="3934"/>
      <c r="G73" s="8"/>
      <c r="H73" s="109" t="s">
        <v>3831</v>
      </c>
      <c r="I73" s="36"/>
      <c r="J73" s="1"/>
      <c r="K73" s="2921" t="str">
        <f t="shared" ref="K73:P73" si="354">IF(OR(K57=0,K67=0),"",K57/K67)</f>
        <v/>
      </c>
      <c r="L73" s="2922" t="str">
        <f t="shared" si="354"/>
        <v/>
      </c>
      <c r="M73" s="2922" t="str">
        <f t="shared" si="354"/>
        <v/>
      </c>
      <c r="N73" s="2922" t="str">
        <f t="shared" si="354"/>
        <v/>
      </c>
      <c r="O73" s="2922" t="str">
        <f t="shared" si="354"/>
        <v/>
      </c>
      <c r="P73" s="2923" t="str">
        <f t="shared" si="354"/>
        <v/>
      </c>
      <c r="S73" s="3834"/>
      <c r="T73" s="3835"/>
      <c r="U73" s="3835"/>
      <c r="V73" s="3835"/>
      <c r="W73" s="3836"/>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4"/>
      <c r="E74" s="3934"/>
      <c r="F74" s="3934"/>
      <c r="G74" s="8"/>
      <c r="H74" s="109" t="s">
        <v>6815</v>
      </c>
      <c r="I74" s="36"/>
      <c r="J74" s="1"/>
      <c r="K74" s="2914" t="str">
        <f>IF(OR(K57=0,P73="",K67=0),"",P73*K67)</f>
        <v/>
      </c>
      <c r="L74" s="2914" t="str">
        <f>IF(OR(L57=0,P73="",L67=0),"",P73*L67)</f>
        <v/>
      </c>
      <c r="M74" s="2914" t="str">
        <f>IF(OR(M57=0,P73="",M67=0),"",P73*M67)</f>
        <v/>
      </c>
      <c r="N74" s="2914" t="str">
        <f>IF(OR(N57=0,P73="",N67=0),"",P73*N67)</f>
        <v/>
      </c>
      <c r="O74" s="2914" t="str">
        <f>IF(OR(O57=0,P73="",O67=0),"",P73*O67)</f>
        <v/>
      </c>
      <c r="P74" s="2915" t="str">
        <f>IF(OR(P73="",P67=0),"",P73*P67)</f>
        <v/>
      </c>
      <c r="S74" s="3834"/>
      <c r="T74" s="3835"/>
      <c r="U74" s="3835"/>
      <c r="V74" s="3835"/>
      <c r="W74" s="3836"/>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4"/>
      <c r="E75" s="3934"/>
      <c r="F75" s="3934"/>
      <c r="G75" s="1579"/>
      <c r="H75" s="2916" t="s">
        <v>6816</v>
      </c>
      <c r="I75" s="2917"/>
      <c r="J75" s="1"/>
      <c r="K75" s="2918" t="str">
        <f t="shared" ref="K75:P75" si="355">IF(OR(K74="",K57=0),"", K57-K74)</f>
        <v/>
      </c>
      <c r="L75" s="2918" t="str">
        <f t="shared" si="355"/>
        <v/>
      </c>
      <c r="M75" s="2918" t="str">
        <f t="shared" si="355"/>
        <v/>
      </c>
      <c r="N75" s="2918" t="str">
        <f t="shared" si="355"/>
        <v/>
      </c>
      <c r="O75" s="2918" t="str">
        <f t="shared" si="355"/>
        <v/>
      </c>
      <c r="P75" s="2918" t="str">
        <f t="shared" si="355"/>
        <v/>
      </c>
      <c r="S75" s="3834"/>
      <c r="T75" s="3835"/>
      <c r="U75" s="3835"/>
      <c r="V75" s="3835"/>
      <c r="W75" s="3836"/>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934"/>
      <c r="E76" s="3934"/>
      <c r="F76" s="3934"/>
      <c r="G76" s="8"/>
      <c r="H76" s="109" t="s">
        <v>1107</v>
      </c>
      <c r="I76" s="36"/>
      <c r="J76" s="1"/>
      <c r="K76" s="2921" t="str">
        <f t="shared" ref="K76:P76" si="356">IF(OR(K58=0,K67=0),"",K58/K67)</f>
        <v/>
      </c>
      <c r="L76" s="2922">
        <f t="shared" si="356"/>
        <v>0.625</v>
      </c>
      <c r="M76" s="2922">
        <f t="shared" si="356"/>
        <v>0.7</v>
      </c>
      <c r="N76" s="2922">
        <f t="shared" si="356"/>
        <v>0.625</v>
      </c>
      <c r="O76" s="2922" t="str">
        <f t="shared" si="356"/>
        <v/>
      </c>
      <c r="P76" s="2923">
        <f t="shared" si="356"/>
        <v>0.66666666666666663</v>
      </c>
      <c r="S76" s="3834"/>
      <c r="T76" s="3835"/>
      <c r="U76" s="3835"/>
      <c r="V76" s="3835"/>
      <c r="W76" s="3836"/>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4"/>
      <c r="E77" s="3934"/>
      <c r="F77" s="3934"/>
      <c r="G77" s="8"/>
      <c r="H77" s="109" t="s">
        <v>6815</v>
      </c>
      <c r="I77" s="36"/>
      <c r="J77" s="1"/>
      <c r="K77" s="2914" t="str">
        <f>IF(OR(K58=0,P76="",K67=0),"",P76*K67)</f>
        <v/>
      </c>
      <c r="L77" s="2914">
        <f>IF(OR(L58=0,P76="",L67=0),"",P76*L67)</f>
        <v>10.666666666666666</v>
      </c>
      <c r="M77" s="2914">
        <f>IF(OR(M58=0,P76="",M67=0),"",P76*M67)</f>
        <v>26.666666666666664</v>
      </c>
      <c r="N77" s="2914">
        <f>IF(OR(N58=0,P76="",N67=0),"",P76*N67)</f>
        <v>10.666666666666666</v>
      </c>
      <c r="O77" s="2914" t="str">
        <f>IF(OR(O58=0,P76="",O67=0),"",P76*O67)</f>
        <v/>
      </c>
      <c r="P77" s="2915">
        <f>IF(OR(P76="",P67=0),"",P76*P67)</f>
        <v>48</v>
      </c>
      <c r="S77" s="3840"/>
      <c r="T77" s="3841"/>
      <c r="U77" s="3841"/>
      <c r="V77" s="3841"/>
      <c r="W77" s="3842"/>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4"/>
      <c r="E78" s="3934"/>
      <c r="F78" s="3934"/>
      <c r="G78" s="1579"/>
      <c r="H78" s="2916" t="s">
        <v>6816</v>
      </c>
      <c r="I78" s="2917"/>
      <c r="J78" s="1"/>
      <c r="K78" s="2918" t="str">
        <f t="shared" ref="K78:P78" si="357">IF(OR(K77="",K58=0),"", K58-K77)</f>
        <v/>
      </c>
      <c r="L78" s="2918">
        <f t="shared" si="357"/>
        <v>-0.66666666666666607</v>
      </c>
      <c r="M78" s="2918">
        <f t="shared" si="357"/>
        <v>1.3333333333333357</v>
      </c>
      <c r="N78" s="2918">
        <f t="shared" si="357"/>
        <v>-0.66666666666666607</v>
      </c>
      <c r="O78" s="2918" t="str">
        <f t="shared" si="357"/>
        <v/>
      </c>
      <c r="P78" s="2918">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4"/>
      <c r="E79" s="2924"/>
      <c r="F79" s="8"/>
      <c r="G79" s="8"/>
      <c r="H79" s="109" t="s">
        <v>111</v>
      </c>
      <c r="I79" s="36"/>
      <c r="J79" s="1"/>
      <c r="K79" s="2921" t="str">
        <f t="shared" ref="K79:P79" si="358">IF(OR(K59=0,K67=0),"",K59/K67)</f>
        <v/>
      </c>
      <c r="L79" s="2922">
        <f t="shared" si="358"/>
        <v>0.25</v>
      </c>
      <c r="M79" s="2922">
        <f t="shared" si="358"/>
        <v>0.2</v>
      </c>
      <c r="N79" s="2922">
        <f t="shared" si="358"/>
        <v>0.25</v>
      </c>
      <c r="O79" s="2922" t="str">
        <f t="shared" si="358"/>
        <v/>
      </c>
      <c r="P79" s="2923">
        <f t="shared" si="358"/>
        <v>0.22222222222222221</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6815</v>
      </c>
      <c r="I80" s="36"/>
      <c r="J80" s="1"/>
      <c r="K80" s="2914" t="str">
        <f>IF(OR(K59=0,P79="",K67=0),"",P79*K67)</f>
        <v/>
      </c>
      <c r="L80" s="2914">
        <f>IF(OR(L59=0,P79="",L67=0),"",P79*L67)</f>
        <v>3.5555555555555554</v>
      </c>
      <c r="M80" s="2914">
        <f>IF(OR(M59=0,P79="",M67=0),"",P79*M67)</f>
        <v>8.8888888888888893</v>
      </c>
      <c r="N80" s="2914">
        <f>IF(OR(N59=0,P79="",N67=0),"",P79*N67)</f>
        <v>3.5555555555555554</v>
      </c>
      <c r="O80" s="2914" t="str">
        <f>IF(OR(O59=0,P79="",O67=0),"",P79*O67)</f>
        <v/>
      </c>
      <c r="P80" s="2915">
        <f>IF(OR(P79="",P67=0),"",P79*P67)</f>
        <v>16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79"/>
      <c r="H81" s="2916" t="s">
        <v>6816</v>
      </c>
      <c r="I81" s="2917"/>
      <c r="J81" s="1"/>
      <c r="K81" s="2918" t="str">
        <f t="shared" ref="K81:P81" si="359">IF(OR(K80="",K59=0),"", K59-K80)</f>
        <v/>
      </c>
      <c r="L81" s="2918">
        <f t="shared" si="359"/>
        <v>0.44444444444444464</v>
      </c>
      <c r="M81" s="2918">
        <f t="shared" si="359"/>
        <v>-0.88888888888888928</v>
      </c>
      <c r="N81" s="2918">
        <f t="shared" si="359"/>
        <v>0.44444444444444464</v>
      </c>
      <c r="O81" s="2918" t="str">
        <f t="shared" si="359"/>
        <v/>
      </c>
      <c r="P81" s="2918">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4"/>
      <c r="E82" s="2924"/>
      <c r="F82" s="8"/>
      <c r="G82" s="8"/>
      <c r="H82" s="109" t="s">
        <v>3832</v>
      </c>
      <c r="I82" s="36"/>
      <c r="J82" s="1"/>
      <c r="K82" s="2921" t="str">
        <f t="shared" ref="K82:P82" si="360">IF(OR(K60=0,K67=0),"",K60/K67)</f>
        <v/>
      </c>
      <c r="L82" s="2922" t="str">
        <f t="shared" si="360"/>
        <v/>
      </c>
      <c r="M82" s="2922" t="str">
        <f t="shared" si="360"/>
        <v/>
      </c>
      <c r="N82" s="2922" t="str">
        <f t="shared" si="360"/>
        <v/>
      </c>
      <c r="O82" s="2922" t="str">
        <f t="shared" si="360"/>
        <v/>
      </c>
      <c r="P82" s="2923"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6815</v>
      </c>
      <c r="I83" s="36"/>
      <c r="J83" s="1"/>
      <c r="K83" s="2914" t="str">
        <f>IF(OR(K60=0,P82="",K67=0),"",P82*K67)</f>
        <v/>
      </c>
      <c r="L83" s="2914" t="str">
        <f>IF(OR(L60=0,P82="",L67=0),"",P82*L67)</f>
        <v/>
      </c>
      <c r="M83" s="2914" t="str">
        <f>IF(OR(M60=0,P82="",M67=0),"",P82*M67)</f>
        <v/>
      </c>
      <c r="N83" s="2914" t="str">
        <f>IF(OR(N60=0,P82="",N67=0),"",P82*N67)</f>
        <v/>
      </c>
      <c r="O83" s="2914" t="str">
        <f>IF(OR(O60=0,P82="",O67=0),"",P82*O67)</f>
        <v/>
      </c>
      <c r="P83" s="2915"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6" t="s">
        <v>6816</v>
      </c>
      <c r="I84" s="2917"/>
      <c r="J84" s="1"/>
      <c r="K84" s="2918" t="str">
        <f t="shared" ref="K84:P84" si="361">IF(OR(K83="",K60=0),"", K60-K83)</f>
        <v/>
      </c>
      <c r="L84" s="2918" t="str">
        <f t="shared" si="361"/>
        <v/>
      </c>
      <c r="M84" s="2918" t="str">
        <f t="shared" si="361"/>
        <v/>
      </c>
      <c r="N84" s="2918" t="str">
        <f t="shared" si="361"/>
        <v/>
      </c>
      <c r="O84" s="2918" t="str">
        <f t="shared" si="361"/>
        <v/>
      </c>
      <c r="P84" s="2918"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921" t="str">
        <f t="shared" ref="K85:P85" si="362">IF(OR(K61=0,K67=0),"",K61/K67)</f>
        <v/>
      </c>
      <c r="L85" s="2922" t="str">
        <f t="shared" si="362"/>
        <v/>
      </c>
      <c r="M85" s="2922" t="str">
        <f t="shared" si="362"/>
        <v/>
      </c>
      <c r="N85" s="2922" t="str">
        <f t="shared" si="362"/>
        <v/>
      </c>
      <c r="O85" s="2922" t="str">
        <f t="shared" si="362"/>
        <v/>
      </c>
      <c r="P85" s="2923"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6815</v>
      </c>
      <c r="I86" s="36"/>
      <c r="J86" s="1"/>
      <c r="K86" s="2914" t="str">
        <f>IF(OR(K61=0,P85="",K67=0),"",P85*K67)</f>
        <v/>
      </c>
      <c r="L86" s="2914" t="str">
        <f>IF(OR(L61=0,P85="",L67=0),"",P85*L67)</f>
        <v/>
      </c>
      <c r="M86" s="2914" t="str">
        <f>IF(OR(M61=0,P85="",M67=0),"",P85*M67)</f>
        <v/>
      </c>
      <c r="N86" s="2914" t="str">
        <f>IF(OR(N61=0,P85="",N67=0),"",P85*N67)</f>
        <v/>
      </c>
      <c r="O86" s="2914" t="str">
        <f>IF(OR(O61=0,P85="",O67=0),"",P85*O67)</f>
        <v/>
      </c>
      <c r="P86" s="2915"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6" t="s">
        <v>6816</v>
      </c>
      <c r="I87" s="2917"/>
      <c r="J87" s="1"/>
      <c r="K87" s="2918" t="str">
        <f t="shared" ref="K87:P87" si="363">IF(OR(K86="",K61=0),"", K61-K86)</f>
        <v/>
      </c>
      <c r="L87" s="2918" t="str">
        <f t="shared" si="363"/>
        <v/>
      </c>
      <c r="M87" s="2918" t="str">
        <f t="shared" si="363"/>
        <v/>
      </c>
      <c r="N87" s="2918" t="str">
        <f t="shared" si="363"/>
        <v/>
      </c>
      <c r="O87" s="2918" t="str">
        <f t="shared" si="363"/>
        <v/>
      </c>
      <c r="P87" s="2918"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921" t="str">
        <f t="shared" ref="K88:P88" si="364">IF(OR(K62=0,K67=0),"",K62/K67)</f>
        <v/>
      </c>
      <c r="L88" s="2922" t="str">
        <f t="shared" si="364"/>
        <v/>
      </c>
      <c r="M88" s="2922" t="str">
        <f t="shared" si="364"/>
        <v/>
      </c>
      <c r="N88" s="2922" t="str">
        <f t="shared" si="364"/>
        <v/>
      </c>
      <c r="O88" s="2922" t="str">
        <f t="shared" si="364"/>
        <v/>
      </c>
      <c r="P88" s="2923"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6815</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79"/>
      <c r="H90" s="2916" t="s">
        <v>6816</v>
      </c>
      <c r="I90" s="2917"/>
      <c r="J90" s="1"/>
      <c r="K90" s="2926" t="str">
        <f t="shared" ref="K90:P90" si="365">IF(OR(K89="",K62=0),"", K62-K89)</f>
        <v/>
      </c>
      <c r="L90" s="2926" t="str">
        <f t="shared" si="365"/>
        <v/>
      </c>
      <c r="M90" s="2926" t="str">
        <f t="shared" si="365"/>
        <v/>
      </c>
      <c r="N90" s="2926" t="str">
        <f t="shared" si="365"/>
        <v/>
      </c>
      <c r="O90" s="2926" t="str">
        <f t="shared" si="365"/>
        <v/>
      </c>
      <c r="P90" s="2926"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5"/>
      <c r="T93" s="3856"/>
      <c r="U93" s="3856"/>
      <c r="V93" s="3856"/>
      <c r="W93" s="3857"/>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4"/>
      <c r="T94" s="3835"/>
      <c r="U94" s="3835"/>
      <c r="V94" s="3835"/>
      <c r="W94" s="3836"/>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4"/>
      <c r="T95" s="3835"/>
      <c r="U95" s="3835"/>
      <c r="V95" s="3835"/>
      <c r="W95" s="3836"/>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4"/>
      <c r="T96" s="3835"/>
      <c r="U96" s="3835"/>
      <c r="V96" s="3835"/>
      <c r="W96" s="3836"/>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4"/>
      <c r="T97" s="3835"/>
      <c r="U97" s="3835"/>
      <c r="V97" s="3835"/>
      <c r="W97" s="3836"/>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4"/>
      <c r="T98" s="3835"/>
      <c r="U98" s="3835"/>
      <c r="V98" s="3835"/>
      <c r="W98" s="3836"/>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4"/>
      <c r="T99" s="3835"/>
      <c r="U99" s="3835"/>
      <c r="V99" s="3835"/>
      <c r="W99" s="3836"/>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0"/>
      <c r="T100" s="3841"/>
      <c r="U100" s="3841"/>
      <c r="V100" s="3841"/>
      <c r="W100" s="3842"/>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43" t="str">
        <f>$L$53</f>
        <v>40% of Units at 60% of AMI</v>
      </c>
      <c r="M102" s="3844"/>
      <c r="N102" s="3844"/>
      <c r="O102" s="3845"/>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5"/>
      <c r="T104" s="3856"/>
      <c r="U104" s="3856"/>
      <c r="V104" s="3856"/>
      <c r="W104" s="3857"/>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4"/>
      <c r="T105" s="3835"/>
      <c r="U105" s="3835"/>
      <c r="V105" s="3835"/>
      <c r="W105" s="3836"/>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4"/>
      <c r="T106" s="3835"/>
      <c r="U106" s="3835"/>
      <c r="V106" s="3835"/>
      <c r="W106" s="3836"/>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4"/>
      <c r="T107" s="3835"/>
      <c r="U107" s="3835"/>
      <c r="V107" s="3835"/>
      <c r="W107" s="3836"/>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4"/>
      <c r="T108" s="3835"/>
      <c r="U108" s="3835"/>
      <c r="V108" s="3835"/>
      <c r="W108" s="3836"/>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4"/>
      <c r="T109" s="3835"/>
      <c r="U109" s="3835"/>
      <c r="V109" s="3835"/>
      <c r="W109" s="3836"/>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4"/>
      <c r="T110" s="3835"/>
      <c r="U110" s="3835"/>
      <c r="V110" s="3835"/>
      <c r="W110" s="3836"/>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0"/>
      <c r="T111" s="3841"/>
      <c r="U111" s="3841"/>
      <c r="V111" s="3841"/>
      <c r="W111" s="3842"/>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9" t="s">
        <v>35</v>
      </c>
      <c r="D113" s="3839"/>
      <c r="E113" s="102" t="s">
        <v>2192</v>
      </c>
      <c r="F113" s="1"/>
      <c r="G113" s="82"/>
      <c r="H113" s="109" t="s">
        <v>1377</v>
      </c>
      <c r="I113" s="36"/>
      <c r="J113" s="82"/>
      <c r="K113" s="1200">
        <f>GG49</f>
        <v>0</v>
      </c>
      <c r="L113" s="1201">
        <f>GH49</f>
        <v>14</v>
      </c>
      <c r="M113" s="1201">
        <f>GI49</f>
        <v>36</v>
      </c>
      <c r="N113" s="1201">
        <f>GJ49</f>
        <v>14</v>
      </c>
      <c r="O113" s="1202">
        <f>GK49</f>
        <v>0</v>
      </c>
      <c r="P113" s="837">
        <f t="shared" ref="P113:P123" si="368">SUM(K113:O113)</f>
        <v>64</v>
      </c>
      <c r="S113" s="3855"/>
      <c r="T113" s="3856"/>
      <c r="U113" s="3856"/>
      <c r="V113" s="3856"/>
      <c r="W113" s="3857"/>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9"/>
      <c r="D114" s="3839"/>
      <c r="E114" s="109"/>
      <c r="F114" s="1"/>
      <c r="G114" s="82"/>
      <c r="H114" s="109" t="s">
        <v>292</v>
      </c>
      <c r="I114" s="36"/>
      <c r="J114" s="82"/>
      <c r="K114" s="1206">
        <f>GL49</f>
        <v>0</v>
      </c>
      <c r="L114" s="1207">
        <f>GM49</f>
        <v>2</v>
      </c>
      <c r="M114" s="1207">
        <f>GN49</f>
        <v>4</v>
      </c>
      <c r="N114" s="1207">
        <f>GO49</f>
        <v>2</v>
      </c>
      <c r="O114" s="1208">
        <f>GP49</f>
        <v>0</v>
      </c>
      <c r="P114" s="834">
        <f t="shared" si="368"/>
        <v>8</v>
      </c>
      <c r="S114" s="3834"/>
      <c r="T114" s="3835"/>
      <c r="U114" s="3835"/>
      <c r="V114" s="3835"/>
      <c r="W114" s="3836"/>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9"/>
      <c r="D115" s="3839"/>
      <c r="E115" s="109"/>
      <c r="F115" s="1"/>
      <c r="G115" s="82"/>
      <c r="H115" s="163" t="s">
        <v>29</v>
      </c>
      <c r="I115" s="86"/>
      <c r="J115" s="82"/>
      <c r="K115" s="1181">
        <f>SUM(K113:K114)+GQ49</f>
        <v>0</v>
      </c>
      <c r="L115" s="1181">
        <f>SUM(L113:L114)+GR49</f>
        <v>16</v>
      </c>
      <c r="M115" s="1181">
        <f>SUM(M113:M114)+GS49</f>
        <v>40</v>
      </c>
      <c r="N115" s="1181">
        <f>SUM(N113:N114)+GT49</f>
        <v>16</v>
      </c>
      <c r="O115" s="1181">
        <f>SUM(O113:O114)+GU49</f>
        <v>0</v>
      </c>
      <c r="P115" s="1181">
        <f t="shared" si="368"/>
        <v>72</v>
      </c>
      <c r="S115" s="3834"/>
      <c r="T115" s="3835"/>
      <c r="U115" s="3835"/>
      <c r="V115" s="3835"/>
      <c r="W115" s="3836"/>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9"/>
      <c r="D116" s="3839"/>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4"/>
      <c r="T116" s="3835"/>
      <c r="U116" s="3835"/>
      <c r="V116" s="3835"/>
      <c r="W116" s="3836"/>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9"/>
      <c r="D117" s="3839"/>
      <c r="E117" s="109"/>
      <c r="F117" s="1"/>
      <c r="G117" s="82"/>
      <c r="H117" s="109" t="s">
        <v>292</v>
      </c>
      <c r="I117" s="36"/>
      <c r="J117" s="82"/>
      <c r="K117" s="1206">
        <f>HA49</f>
        <v>0</v>
      </c>
      <c r="L117" s="1207">
        <f>HB49</f>
        <v>0</v>
      </c>
      <c r="M117" s="1207">
        <f>HC49</f>
        <v>0</v>
      </c>
      <c r="N117" s="1207">
        <f>HD49</f>
        <v>0</v>
      </c>
      <c r="O117" s="1208">
        <f>HE49</f>
        <v>0</v>
      </c>
      <c r="P117" s="834">
        <f t="shared" si="368"/>
        <v>0</v>
      </c>
      <c r="S117" s="3834"/>
      <c r="T117" s="3835"/>
      <c r="U117" s="3835"/>
      <c r="V117" s="3835"/>
      <c r="W117" s="3836"/>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9"/>
      <c r="D118" s="3839"/>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4"/>
      <c r="T118" s="3835"/>
      <c r="U118" s="3835"/>
      <c r="V118" s="3835"/>
      <c r="W118" s="3836"/>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1" t="s">
        <v>1368</v>
      </c>
      <c r="F119" s="3901"/>
      <c r="G119" s="82"/>
      <c r="H119" s="109" t="s">
        <v>1377</v>
      </c>
      <c r="I119" s="36"/>
      <c r="J119" s="82"/>
      <c r="K119" s="1200">
        <f>HK49</f>
        <v>0</v>
      </c>
      <c r="L119" s="1201">
        <f>HL49</f>
        <v>0</v>
      </c>
      <c r="M119" s="1201">
        <f>HM49</f>
        <v>0</v>
      </c>
      <c r="N119" s="1201">
        <f>HN49</f>
        <v>0</v>
      </c>
      <c r="O119" s="1202">
        <f>HO49</f>
        <v>0</v>
      </c>
      <c r="P119" s="837">
        <f t="shared" si="368"/>
        <v>0</v>
      </c>
      <c r="S119" s="3834"/>
      <c r="T119" s="3835"/>
      <c r="U119" s="3835"/>
      <c r="V119" s="3835"/>
      <c r="W119" s="3836"/>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1"/>
      <c r="F120" s="3901"/>
      <c r="G120" s="82"/>
      <c r="H120" s="109" t="s">
        <v>292</v>
      </c>
      <c r="I120" s="36"/>
      <c r="J120" s="82"/>
      <c r="K120" s="1206">
        <f>HP49</f>
        <v>0</v>
      </c>
      <c r="L120" s="1207">
        <f>HQ49</f>
        <v>0</v>
      </c>
      <c r="M120" s="1207">
        <f>HR49</f>
        <v>0</v>
      </c>
      <c r="N120" s="1207">
        <f>HS49</f>
        <v>0</v>
      </c>
      <c r="O120" s="1208">
        <f>HT49</f>
        <v>0</v>
      </c>
      <c r="P120" s="834">
        <f t="shared" si="368"/>
        <v>0</v>
      </c>
      <c r="S120" s="3834"/>
      <c r="T120" s="3835"/>
      <c r="U120" s="3835"/>
      <c r="V120" s="3835"/>
      <c r="W120" s="3836"/>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4"/>
      <c r="T121" s="3835"/>
      <c r="U121" s="3835"/>
      <c r="V121" s="3835"/>
      <c r="W121" s="3836"/>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7"/>
      <c r="L122" s="2927"/>
      <c r="M122" s="2927"/>
      <c r="N122" s="2927"/>
      <c r="O122" s="2927"/>
      <c r="P122" s="539">
        <f t="shared" si="368"/>
        <v>0</v>
      </c>
      <c r="S122" s="3834"/>
      <c r="T122" s="3835"/>
      <c r="U122" s="3835"/>
      <c r="V122" s="3835"/>
      <c r="W122" s="3836"/>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8" t="str">
        <f>IF(AND('Part IV-A-Uses of Funds'!$T$185="Yes",'Part IX Scoring Criteria'!$O$330&gt;0,P123&lt;1),"SHOW HISTORIC UNITS HERE &gt;&gt;&gt;&gt;","")</f>
        <v/>
      </c>
      <c r="B123" s="3838"/>
      <c r="C123" s="3838"/>
      <c r="D123" s="3838"/>
      <c r="E123" s="462" t="s">
        <v>3140</v>
      </c>
      <c r="F123" s="1"/>
      <c r="G123" s="170"/>
      <c r="H123" s="110"/>
      <c r="I123" s="82"/>
      <c r="J123" s="82"/>
      <c r="K123" s="2928"/>
      <c r="L123" s="2928"/>
      <c r="M123" s="2928"/>
      <c r="N123" s="2928"/>
      <c r="O123" s="2928"/>
      <c r="P123" s="540">
        <f t="shared" si="368"/>
        <v>0</v>
      </c>
      <c r="S123" s="3834"/>
      <c r="T123" s="3835"/>
      <c r="U123" s="3835"/>
      <c r="V123" s="3835"/>
      <c r="W123" s="3836"/>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4"/>
      <c r="T124" s="3835"/>
      <c r="U124" s="3835"/>
      <c r="V124" s="3835"/>
      <c r="W124" s="3836"/>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0"/>
      <c r="T125" s="3841"/>
      <c r="U125" s="3841"/>
      <c r="V125" s="3841"/>
      <c r="W125" s="3842"/>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4" t="s">
        <v>6820</v>
      </c>
      <c r="D127" s="3904"/>
      <c r="E127" s="978" t="s">
        <v>36</v>
      </c>
      <c r="F127" s="866"/>
      <c r="G127" s="979"/>
      <c r="H127" s="1504"/>
      <c r="I127" s="980"/>
      <c r="J127" s="981"/>
      <c r="K127" s="1221">
        <f t="shared" ref="K127:P127" si="369">SUM(K128:K135)</f>
        <v>0</v>
      </c>
      <c r="L127" s="1222">
        <f t="shared" si="369"/>
        <v>16</v>
      </c>
      <c r="M127" s="1222">
        <f t="shared" si="369"/>
        <v>40</v>
      </c>
      <c r="N127" s="1222">
        <f t="shared" si="369"/>
        <v>16</v>
      </c>
      <c r="O127" s="1223">
        <f t="shared" si="369"/>
        <v>0</v>
      </c>
      <c r="P127" s="1184">
        <f t="shared" si="369"/>
        <v>72</v>
      </c>
      <c r="S127" s="3855"/>
      <c r="T127" s="3856"/>
      <c r="U127" s="3856"/>
      <c r="V127" s="3856"/>
      <c r="W127" s="3857"/>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5"/>
      <c r="D128" s="3905"/>
      <c r="E128" s="102"/>
      <c r="F128" s="5"/>
      <c r="G128" s="150"/>
      <c r="H128" s="1501" t="s">
        <v>6597</v>
      </c>
      <c r="I128" s="783"/>
      <c r="J128" s="982"/>
      <c r="K128" s="1203">
        <f>JS49</f>
        <v>0</v>
      </c>
      <c r="L128" s="1204">
        <f>JT49</f>
        <v>0</v>
      </c>
      <c r="M128" s="1204">
        <f>JU49</f>
        <v>0</v>
      </c>
      <c r="N128" s="1204">
        <f>JV49</f>
        <v>0</v>
      </c>
      <c r="O128" s="1205">
        <f>JW49</f>
        <v>0</v>
      </c>
      <c r="P128" s="833">
        <f t="shared" ref="P128:P143" si="370">SUM(K128:O128)</f>
        <v>0</v>
      </c>
      <c r="S128" s="3834"/>
      <c r="T128" s="3835"/>
      <c r="U128" s="3835"/>
      <c r="V128" s="3835"/>
      <c r="W128" s="3836"/>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5"/>
      <c r="D129" s="3905"/>
      <c r="E129" s="102"/>
      <c r="F129" s="5"/>
      <c r="G129" s="150"/>
      <c r="H129" s="1505" t="s">
        <v>3117</v>
      </c>
      <c r="I129" s="94"/>
      <c r="J129" s="982"/>
      <c r="K129" s="1760">
        <f>KC49</f>
        <v>0</v>
      </c>
      <c r="L129" s="1761">
        <f>KD49</f>
        <v>0</v>
      </c>
      <c r="M129" s="1761">
        <f>KE49</f>
        <v>0</v>
      </c>
      <c r="N129" s="1761">
        <f>KF49</f>
        <v>0</v>
      </c>
      <c r="O129" s="1762">
        <f>KG49</f>
        <v>0</v>
      </c>
      <c r="P129" s="1772">
        <f t="shared" si="370"/>
        <v>0</v>
      </c>
      <c r="S129" s="3834"/>
      <c r="T129" s="3835"/>
      <c r="U129" s="3835"/>
      <c r="V129" s="3835"/>
      <c r="W129" s="3836"/>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5"/>
      <c r="D130" s="3905"/>
      <c r="E130" s="102"/>
      <c r="F130" s="5"/>
      <c r="G130" s="150"/>
      <c r="H130" s="1501" t="s">
        <v>6807</v>
      </c>
      <c r="I130" s="783"/>
      <c r="J130" s="982"/>
      <c r="K130" s="1203">
        <f>JX49</f>
        <v>0</v>
      </c>
      <c r="L130" s="1204">
        <f>JY49</f>
        <v>0</v>
      </c>
      <c r="M130" s="1204">
        <f>JZ49</f>
        <v>0</v>
      </c>
      <c r="N130" s="1204">
        <f>KA49</f>
        <v>0</v>
      </c>
      <c r="O130" s="1205">
        <f>KB49</f>
        <v>0</v>
      </c>
      <c r="P130" s="833">
        <f t="shared" ref="P130:P135" si="371">SUM(K130:O130)</f>
        <v>0</v>
      </c>
      <c r="S130" s="3834"/>
      <c r="T130" s="3835"/>
      <c r="U130" s="3835"/>
      <c r="V130" s="3835"/>
      <c r="W130" s="3836"/>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5"/>
      <c r="D131" s="3905"/>
      <c r="E131" s="102"/>
      <c r="F131" s="5"/>
      <c r="G131" s="150"/>
      <c r="H131" s="1505" t="s">
        <v>3117</v>
      </c>
      <c r="I131" s="94"/>
      <c r="J131" s="982"/>
      <c r="K131" s="1760">
        <f>KH49</f>
        <v>0</v>
      </c>
      <c r="L131" s="1761">
        <f>KI49</f>
        <v>0</v>
      </c>
      <c r="M131" s="1761">
        <f>KJ49</f>
        <v>0</v>
      </c>
      <c r="N131" s="1761">
        <f>KK49</f>
        <v>0</v>
      </c>
      <c r="O131" s="1762">
        <f>KL49</f>
        <v>0</v>
      </c>
      <c r="P131" s="1772">
        <f t="shared" si="371"/>
        <v>0</v>
      </c>
      <c r="S131" s="3834"/>
      <c r="T131" s="3835"/>
      <c r="U131" s="3835"/>
      <c r="V131" s="3835"/>
      <c r="W131" s="3836"/>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5"/>
      <c r="D132" s="3905"/>
      <c r="E132" s="102"/>
      <c r="F132" s="1"/>
      <c r="G132" s="82"/>
      <c r="H132" s="1496" t="s">
        <v>6599</v>
      </c>
      <c r="I132" s="40"/>
      <c r="J132" s="82"/>
      <c r="K132" s="1227">
        <f>KM49</f>
        <v>0</v>
      </c>
      <c r="L132" s="1228">
        <f>KN49</f>
        <v>16</v>
      </c>
      <c r="M132" s="1228">
        <f>KO49</f>
        <v>40</v>
      </c>
      <c r="N132" s="1228">
        <f>KP49</f>
        <v>16</v>
      </c>
      <c r="O132" s="1229">
        <f>KQ49</f>
        <v>0</v>
      </c>
      <c r="P132" s="543">
        <f t="shared" si="371"/>
        <v>72</v>
      </c>
      <c r="S132" s="3834"/>
      <c r="T132" s="3835"/>
      <c r="U132" s="3835"/>
      <c r="V132" s="3835"/>
      <c r="W132" s="3836"/>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5"/>
      <c r="D133" s="3905"/>
      <c r="E133" s="102"/>
      <c r="F133" s="1"/>
      <c r="G133" s="82"/>
      <c r="H133" s="1506" t="s">
        <v>3117</v>
      </c>
      <c r="I133" s="780"/>
      <c r="J133" s="82"/>
      <c r="K133" s="1768">
        <f>KW49</f>
        <v>0</v>
      </c>
      <c r="L133" s="1769">
        <f>KX49</f>
        <v>0</v>
      </c>
      <c r="M133" s="1769">
        <f>KY49</f>
        <v>0</v>
      </c>
      <c r="N133" s="1769">
        <f>KZ49</f>
        <v>0</v>
      </c>
      <c r="O133" s="1770">
        <f>LA49</f>
        <v>0</v>
      </c>
      <c r="P133" s="1771">
        <f t="shared" si="371"/>
        <v>0</v>
      </c>
      <c r="S133" s="3834"/>
      <c r="T133" s="3835"/>
      <c r="U133" s="3835"/>
      <c r="V133" s="3835"/>
      <c r="W133" s="3836"/>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5"/>
      <c r="D134" s="3905"/>
      <c r="E134" s="102"/>
      <c r="F134" s="1"/>
      <c r="G134" s="82"/>
      <c r="H134" s="1496" t="s">
        <v>6814</v>
      </c>
      <c r="I134" s="40"/>
      <c r="J134" s="82"/>
      <c r="K134" s="1227">
        <f>KR49</f>
        <v>0</v>
      </c>
      <c r="L134" s="1228">
        <f>KS49</f>
        <v>0</v>
      </c>
      <c r="M134" s="1228">
        <f>KT49</f>
        <v>0</v>
      </c>
      <c r="N134" s="1228">
        <f>KU49</f>
        <v>0</v>
      </c>
      <c r="O134" s="1229">
        <f>KV49</f>
        <v>0</v>
      </c>
      <c r="P134" s="543">
        <f t="shared" si="371"/>
        <v>0</v>
      </c>
      <c r="S134" s="3834"/>
      <c r="T134" s="3835"/>
      <c r="U134" s="3835"/>
      <c r="V134" s="3835"/>
      <c r="W134" s="3836"/>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5"/>
      <c r="D135" s="3905"/>
      <c r="E135" s="102"/>
      <c r="F135" s="1"/>
      <c r="G135" s="82"/>
      <c r="H135" s="1506" t="s">
        <v>3117</v>
      </c>
      <c r="I135" s="780"/>
      <c r="J135" s="82"/>
      <c r="K135" s="1768">
        <f>LB49</f>
        <v>0</v>
      </c>
      <c r="L135" s="1769">
        <f>LC49</f>
        <v>0</v>
      </c>
      <c r="M135" s="1769">
        <f>LD49</f>
        <v>0</v>
      </c>
      <c r="N135" s="1769">
        <f>LE49</f>
        <v>0</v>
      </c>
      <c r="O135" s="1770">
        <f>LF49</f>
        <v>0</v>
      </c>
      <c r="P135" s="1771">
        <f t="shared" si="371"/>
        <v>0</v>
      </c>
      <c r="S135" s="3834"/>
      <c r="T135" s="3835"/>
      <c r="U135" s="3835"/>
      <c r="V135" s="3835"/>
      <c r="W135" s="3836"/>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5"/>
      <c r="D136" s="3905"/>
      <c r="E136" s="102" t="s">
        <v>6809</v>
      </c>
      <c r="F136" s="1"/>
      <c r="G136" s="82"/>
      <c r="H136" s="1496"/>
      <c r="I136" s="40"/>
      <c r="J136" s="82"/>
      <c r="K136" s="1200">
        <f>IE49</f>
        <v>0</v>
      </c>
      <c r="L136" s="1201">
        <f>IF49</f>
        <v>0</v>
      </c>
      <c r="M136" s="1201">
        <f>IG49</f>
        <v>0</v>
      </c>
      <c r="N136" s="1201">
        <f>IH49</f>
        <v>0</v>
      </c>
      <c r="O136" s="1202">
        <f>II49</f>
        <v>0</v>
      </c>
      <c r="P136" s="1756">
        <f t="shared" si="370"/>
        <v>0</v>
      </c>
      <c r="S136" s="3834"/>
      <c r="T136" s="3835"/>
      <c r="U136" s="3835"/>
      <c r="V136" s="3835"/>
      <c r="W136" s="3836"/>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5"/>
      <c r="D137" s="3905"/>
      <c r="E137" s="102"/>
      <c r="F137" s="1"/>
      <c r="G137" s="82"/>
      <c r="H137" s="1506" t="s">
        <v>3117</v>
      </c>
      <c r="I137" s="780"/>
      <c r="J137" s="82"/>
      <c r="K137" s="1760">
        <f>IJ49</f>
        <v>0</v>
      </c>
      <c r="L137" s="1761">
        <f>IK49</f>
        <v>0</v>
      </c>
      <c r="M137" s="1761">
        <f>IL49</f>
        <v>0</v>
      </c>
      <c r="N137" s="1761">
        <f>IM49</f>
        <v>0</v>
      </c>
      <c r="O137" s="1762">
        <f>IN49</f>
        <v>0</v>
      </c>
      <c r="P137" s="1763">
        <f t="shared" si="370"/>
        <v>0</v>
      </c>
      <c r="S137" s="3834"/>
      <c r="T137" s="3835"/>
      <c r="U137" s="3835"/>
      <c r="V137" s="3835"/>
      <c r="W137" s="3836"/>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5"/>
      <c r="D138" s="3905"/>
      <c r="E138" s="102" t="s">
        <v>6810</v>
      </c>
      <c r="F138" s="1"/>
      <c r="G138" s="82"/>
      <c r="H138" s="1496"/>
      <c r="I138" s="40"/>
      <c r="J138" s="82"/>
      <c r="K138" s="1227">
        <f>JI49</f>
        <v>0</v>
      </c>
      <c r="L138" s="1228">
        <f>JJ49</f>
        <v>0</v>
      </c>
      <c r="M138" s="1228">
        <f>JK49</f>
        <v>0</v>
      </c>
      <c r="N138" s="1228">
        <f>JL49</f>
        <v>0</v>
      </c>
      <c r="O138" s="1229">
        <f>JM49</f>
        <v>0</v>
      </c>
      <c r="P138" s="1757">
        <f t="shared" si="370"/>
        <v>0</v>
      </c>
      <c r="S138" s="3834"/>
      <c r="T138" s="3835"/>
      <c r="U138" s="3835"/>
      <c r="V138" s="3835"/>
      <c r="W138" s="3836"/>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5"/>
      <c r="D139" s="3905"/>
      <c r="E139" s="102"/>
      <c r="F139" s="1"/>
      <c r="G139" s="82"/>
      <c r="H139" s="1506" t="s">
        <v>3117</v>
      </c>
      <c r="I139" s="780"/>
      <c r="J139" s="82"/>
      <c r="K139" s="1760">
        <f>JN49</f>
        <v>0</v>
      </c>
      <c r="L139" s="1761">
        <f>JO49</f>
        <v>0</v>
      </c>
      <c r="M139" s="1761">
        <f>JP49</f>
        <v>0</v>
      </c>
      <c r="N139" s="1761">
        <f>JQ49</f>
        <v>0</v>
      </c>
      <c r="O139" s="1762">
        <f>JR49</f>
        <v>0</v>
      </c>
      <c r="P139" s="1763">
        <f t="shared" si="370"/>
        <v>0</v>
      </c>
      <c r="S139" s="3834"/>
      <c r="T139" s="3835"/>
      <c r="U139" s="3835"/>
      <c r="V139" s="3835"/>
      <c r="W139" s="3836"/>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5"/>
      <c r="D140" s="3905"/>
      <c r="E140" s="109" t="s">
        <v>6593</v>
      </c>
      <c r="F140" s="1"/>
      <c r="G140" s="82"/>
      <c r="H140" s="1496"/>
      <c r="I140" s="40"/>
      <c r="J140" s="82"/>
      <c r="K140" s="1227">
        <f>IY49</f>
        <v>0</v>
      </c>
      <c r="L140" s="1228">
        <f>IZ49</f>
        <v>0</v>
      </c>
      <c r="M140" s="1228">
        <f>JA49</f>
        <v>0</v>
      </c>
      <c r="N140" s="1228">
        <f>JB49</f>
        <v>0</v>
      </c>
      <c r="O140" s="1229">
        <f>JC49</f>
        <v>0</v>
      </c>
      <c r="P140" s="1757">
        <f t="shared" si="370"/>
        <v>0</v>
      </c>
      <c r="S140" s="3834"/>
      <c r="T140" s="3835"/>
      <c r="U140" s="3835"/>
      <c r="V140" s="3835"/>
      <c r="W140" s="3836"/>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5"/>
      <c r="D141" s="3905"/>
      <c r="E141" s="109"/>
      <c r="F141" s="1"/>
      <c r="G141" s="82"/>
      <c r="H141" s="1506" t="s">
        <v>3117</v>
      </c>
      <c r="I141" s="780"/>
      <c r="J141" s="82"/>
      <c r="K141" s="1768">
        <f>JD49</f>
        <v>0</v>
      </c>
      <c r="L141" s="1769">
        <f>JE49</f>
        <v>0</v>
      </c>
      <c r="M141" s="1769">
        <f>JF49</f>
        <v>0</v>
      </c>
      <c r="N141" s="1769">
        <f>JG49</f>
        <v>0</v>
      </c>
      <c r="O141" s="1770">
        <f>JH49</f>
        <v>0</v>
      </c>
      <c r="P141" s="1763">
        <f t="shared" si="370"/>
        <v>0</v>
      </c>
      <c r="S141" s="3834"/>
      <c r="T141" s="3835"/>
      <c r="U141" s="3835"/>
      <c r="V141" s="3835"/>
      <c r="W141" s="3836"/>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5"/>
      <c r="D142" s="3905"/>
      <c r="E142" s="89" t="s">
        <v>537</v>
      </c>
      <c r="F142" s="1"/>
      <c r="G142" s="82"/>
      <c r="H142" s="1496"/>
      <c r="I142" s="40"/>
      <c r="J142" s="82"/>
      <c r="K142" s="1227">
        <f>IO49</f>
        <v>0</v>
      </c>
      <c r="L142" s="1228">
        <f>IP49</f>
        <v>0</v>
      </c>
      <c r="M142" s="1228">
        <f>IQ49</f>
        <v>0</v>
      </c>
      <c r="N142" s="1228">
        <f>IR49</f>
        <v>0</v>
      </c>
      <c r="O142" s="1229">
        <f>IS49</f>
        <v>0</v>
      </c>
      <c r="P142" s="1757">
        <f t="shared" si="370"/>
        <v>0</v>
      </c>
      <c r="S142" s="3834"/>
      <c r="T142" s="3835"/>
      <c r="U142" s="3835"/>
      <c r="V142" s="3835"/>
      <c r="W142" s="3836"/>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0"/>
      <c r="T143" s="3841"/>
      <c r="U143" s="3841"/>
      <c r="V143" s="3841"/>
      <c r="W143" s="3842"/>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43" t="str">
        <f>$L$53</f>
        <v>40% of Units at 60% of AMI</v>
      </c>
      <c r="M145" s="3844"/>
      <c r="N145" s="3844"/>
      <c r="O145" s="3845"/>
      <c r="P145" s="82"/>
      <c r="S145" s="3858" t="str">
        <f>B145</f>
        <v>UNIT SUMMARY (Continued)</v>
      </c>
      <c r="T145" s="3858"/>
      <c r="U145" s="3858"/>
      <c r="V145" s="3858"/>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4" t="s">
        <v>6821</v>
      </c>
      <c r="D147" s="3904"/>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5"/>
      <c r="T147" s="3856"/>
      <c r="U147" s="3856"/>
      <c r="V147" s="3856"/>
      <c r="W147" s="3857"/>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5"/>
      <c r="D148" s="3905"/>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4"/>
      <c r="T148" s="3835"/>
      <c r="U148" s="3835"/>
      <c r="V148" s="3835"/>
      <c r="W148" s="3836"/>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5"/>
      <c r="D149" s="3905"/>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4"/>
      <c r="T149" s="3835"/>
      <c r="U149" s="3835"/>
      <c r="V149" s="3835"/>
      <c r="W149" s="3836"/>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5"/>
      <c r="D150" s="3905"/>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4"/>
      <c r="T150" s="3835"/>
      <c r="U150" s="3835"/>
      <c r="V150" s="3835"/>
      <c r="W150" s="3836"/>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5"/>
      <c r="D151" s="3905"/>
      <c r="E151" s="102" t="s">
        <v>3114</v>
      </c>
      <c r="F151" s="465"/>
      <c r="G151" s="150"/>
      <c r="H151" s="1501"/>
      <c r="I151" s="783"/>
      <c r="J151" s="982"/>
      <c r="K151" s="1236">
        <f>K128+K132</f>
        <v>0</v>
      </c>
      <c r="L151" s="1237">
        <f t="shared" ref="L151:O151" si="375">L128+L132</f>
        <v>16</v>
      </c>
      <c r="M151" s="1237">
        <f t="shared" si="375"/>
        <v>40</v>
      </c>
      <c r="N151" s="1237">
        <f t="shared" si="375"/>
        <v>16</v>
      </c>
      <c r="O151" s="1238">
        <f t="shared" si="375"/>
        <v>0</v>
      </c>
      <c r="P151" s="1757">
        <f t="shared" si="373"/>
        <v>72</v>
      </c>
      <c r="S151" s="3834"/>
      <c r="T151" s="3835"/>
      <c r="U151" s="3835"/>
      <c r="V151" s="3835"/>
      <c r="W151" s="3836"/>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5"/>
      <c r="D152" s="3905"/>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4"/>
      <c r="T152" s="3835"/>
      <c r="U152" s="3835"/>
      <c r="V152" s="3835"/>
      <c r="W152" s="3836"/>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5"/>
      <c r="D153" s="3905"/>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4"/>
      <c r="T153" s="3835"/>
      <c r="U153" s="3835"/>
      <c r="V153" s="3835"/>
      <c r="W153" s="3836"/>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929" t="s">
        <v>4075</v>
      </c>
      <c r="S154" s="3840"/>
      <c r="T154" s="3841"/>
      <c r="U154" s="3841"/>
      <c r="V154" s="3841"/>
      <c r="W154" s="3842"/>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9"/>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6823</v>
      </c>
      <c r="C156" s="1"/>
      <c r="D156" s="1"/>
      <c r="E156" s="1"/>
      <c r="F156" s="1"/>
      <c r="G156" s="82"/>
      <c r="H156" s="40"/>
      <c r="I156" s="40"/>
      <c r="J156" s="82"/>
      <c r="K156" s="546"/>
      <c r="L156" s="546"/>
      <c r="M156" s="546"/>
      <c r="N156" s="546"/>
      <c r="O156" s="546"/>
      <c r="P156" s="546"/>
      <c r="Q156" s="3929"/>
      <c r="S156" s="3588" t="str">
        <f>B156</f>
        <v>UNIT SQUARE FOOTAGE</v>
      </c>
      <c r="T156" s="3588"/>
      <c r="U156" s="358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5"/>
      <c r="T157" s="3856"/>
      <c r="U157" s="3856"/>
      <c r="V157" s="3856"/>
      <c r="W157" s="3857"/>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4"/>
      <c r="T158" s="3835"/>
      <c r="U158" s="3835"/>
      <c r="V158" s="3835"/>
      <c r="W158" s="3836"/>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6680</v>
      </c>
      <c r="M159" s="1240">
        <f>EU49</f>
        <v>26040</v>
      </c>
      <c r="N159" s="1240">
        <f>EV49</f>
        <v>11060</v>
      </c>
      <c r="O159" s="1241">
        <f>EW49</f>
        <v>0</v>
      </c>
      <c r="P159" s="1176">
        <f t="shared" si="379"/>
        <v>43780</v>
      </c>
      <c r="Q159" s="1361">
        <f t="shared" si="380"/>
        <v>912.08333333333337</v>
      </c>
      <c r="S159" s="3834"/>
      <c r="T159" s="3835"/>
      <c r="U159" s="3835"/>
      <c r="V159" s="3835"/>
      <c r="W159" s="3836"/>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2672</v>
      </c>
      <c r="M160" s="1308">
        <f>EZ49</f>
        <v>7440</v>
      </c>
      <c r="N160" s="1308">
        <f>FA49</f>
        <v>4424</v>
      </c>
      <c r="O160" s="1309">
        <f>FB49</f>
        <v>0</v>
      </c>
      <c r="P160" s="1310">
        <f t="shared" si="379"/>
        <v>14536</v>
      </c>
      <c r="Q160" s="1361">
        <f t="shared" si="380"/>
        <v>908.5</v>
      </c>
      <c r="S160" s="3834"/>
      <c r="T160" s="3835"/>
      <c r="U160" s="3835"/>
      <c r="V160" s="3835"/>
      <c r="W160" s="3836"/>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4"/>
      <c r="T161" s="3835"/>
      <c r="U161" s="3835"/>
      <c r="V161" s="3835"/>
      <c r="W161" s="3836"/>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4"/>
      <c r="T162" s="3835"/>
      <c r="U162" s="3835"/>
      <c r="V162" s="3835"/>
      <c r="W162" s="3836"/>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4"/>
      <c r="T163" s="3835"/>
      <c r="U163" s="3835"/>
      <c r="V163" s="3835"/>
      <c r="W163" s="3836"/>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9352</v>
      </c>
      <c r="M164" s="1759">
        <f>SUM(M157:M163)</f>
        <v>33480</v>
      </c>
      <c r="N164" s="1759">
        <f>SUM(N157:N163)</f>
        <v>15484</v>
      </c>
      <c r="O164" s="1759">
        <f>SUM(O157:O163)</f>
        <v>0</v>
      </c>
      <c r="P164" s="1759">
        <f>SUM(K164:O164)</f>
        <v>58316</v>
      </c>
      <c r="S164" s="3834"/>
      <c r="T164" s="3835"/>
      <c r="U164" s="3835"/>
      <c r="V164" s="3835"/>
      <c r="W164" s="3836"/>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1336</v>
      </c>
      <c r="M165" s="1243">
        <f>FT49</f>
        <v>3720</v>
      </c>
      <c r="N165" s="1243">
        <f>FU49</f>
        <v>2212</v>
      </c>
      <c r="O165" s="1244">
        <f>FV49</f>
        <v>0</v>
      </c>
      <c r="P165" s="1183">
        <f>SUM(K165:O165)</f>
        <v>7268</v>
      </c>
      <c r="Q165" s="1314">
        <f>IF(OR(P64=0,P64=""),"",P165/P64)</f>
        <v>908.5</v>
      </c>
      <c r="S165" s="3834"/>
      <c r="T165" s="3835"/>
      <c r="U165" s="3835"/>
      <c r="V165" s="3835"/>
      <c r="W165" s="3836"/>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10688</v>
      </c>
      <c r="M166" s="1758">
        <f>SUM(M164:M165)</f>
        <v>37200</v>
      </c>
      <c r="N166" s="1758">
        <f>SUM(N164:N165)</f>
        <v>17696</v>
      </c>
      <c r="O166" s="1758">
        <f>SUM(O164:O165)</f>
        <v>0</v>
      </c>
      <c r="P166" s="1758">
        <f>SUM(K166:O166)</f>
        <v>65584</v>
      </c>
      <c r="S166" s="3834"/>
      <c r="T166" s="3835"/>
      <c r="U166" s="3835"/>
      <c r="V166" s="3835"/>
      <c r="W166" s="3836"/>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4"/>
      <c r="T167" s="3835"/>
      <c r="U167" s="3835"/>
      <c r="V167" s="3835"/>
      <c r="W167" s="3836"/>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10688</v>
      </c>
      <c r="M168" s="1182">
        <f>SUM(M166:M167)</f>
        <v>37200</v>
      </c>
      <c r="N168" s="1182">
        <f>SUM(N166:N167)</f>
        <v>17696</v>
      </c>
      <c r="O168" s="1182">
        <f>SUM(O166:O167)</f>
        <v>0</v>
      </c>
      <c r="P168" s="1182">
        <f>SUM(K168:O168)</f>
        <v>65584</v>
      </c>
      <c r="S168" s="3840"/>
      <c r="T168" s="3841"/>
      <c r="U168" s="3841"/>
      <c r="V168" s="3841"/>
      <c r="W168" s="3842"/>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0" t="str">
        <f>IF(OR(K67="",K67=0),"",K168/K67)</f>
        <v/>
      </c>
      <c r="L171" s="1360">
        <f>IF(OR(L67="",L67=0),"",L168/L67)</f>
        <v>668</v>
      </c>
      <c r="M171" s="1360">
        <f>IF(OR(M67="",M67=0),"",M168/M67)</f>
        <v>930</v>
      </c>
      <c r="N171" s="1360">
        <f>IF(OR(N67="",N67=0),"",N168/N67)</f>
        <v>1106</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6">
        <f>'Part VII-Pro Forma'!B10*M50</f>
        <v>11359.2</v>
      </c>
      <c r="I176" s="3907"/>
      <c r="J176" s="3908"/>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1"/>
    </row>
    <row r="178" spans="1:493" ht="15.6" customHeight="1">
      <c r="B178" s="795" t="s">
        <v>1390</v>
      </c>
      <c r="C178" s="89"/>
      <c r="D178" s="89"/>
      <c r="E178" s="89"/>
      <c r="F178" s="89"/>
      <c r="G178" s="89"/>
      <c r="H178" s="89"/>
      <c r="I178" s="89"/>
      <c r="J178" s="795"/>
      <c r="K178" s="89"/>
      <c r="L178" s="797"/>
      <c r="M178" s="89"/>
      <c r="N178" s="89"/>
      <c r="O178" s="89"/>
      <c r="P178" s="89"/>
      <c r="Q178" s="110"/>
      <c r="S178" s="2649" t="str">
        <f>B178</f>
        <v>Other Income (OI) by Year:</v>
      </c>
      <c r="NP178" s="2851"/>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1"/>
    </row>
    <row r="180" spans="1:493" ht="15.6" customHeight="1">
      <c r="B180" s="109" t="s">
        <v>978</v>
      </c>
      <c r="C180" s="109"/>
      <c r="D180" s="109"/>
      <c r="E180" s="109"/>
      <c r="F180" s="109"/>
      <c r="H180" s="2929"/>
      <c r="I180" s="2929"/>
      <c r="J180" s="2929"/>
      <c r="K180" s="2929"/>
      <c r="L180" s="2929"/>
      <c r="M180" s="2929"/>
      <c r="N180" s="2929"/>
      <c r="O180" s="2929"/>
      <c r="P180" s="2929"/>
      <c r="Q180" s="2929"/>
      <c r="R180" s="768"/>
      <c r="S180" s="3855"/>
      <c r="T180" s="3856"/>
      <c r="U180" s="3856"/>
      <c r="V180" s="3856"/>
      <c r="W180" s="3857"/>
    </row>
    <row r="181" spans="1:493" ht="15.6" customHeight="1">
      <c r="B181" s="109" t="s">
        <v>711</v>
      </c>
      <c r="C181" s="3885"/>
      <c r="D181" s="3886"/>
      <c r="E181" s="3886"/>
      <c r="F181" s="3887"/>
      <c r="H181" s="2930"/>
      <c r="I181" s="2930"/>
      <c r="J181" s="2930"/>
      <c r="K181" s="2930"/>
      <c r="L181" s="2931"/>
      <c r="M181" s="2930"/>
      <c r="N181" s="2930"/>
      <c r="O181" s="2930"/>
      <c r="P181" s="2930"/>
      <c r="Q181" s="2930"/>
      <c r="R181" s="768"/>
      <c r="S181" s="3834"/>
      <c r="T181" s="3835"/>
      <c r="U181" s="3835"/>
      <c r="V181" s="3835"/>
      <c r="W181" s="3836"/>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0"/>
      <c r="T182" s="3841"/>
      <c r="U182" s="3841"/>
      <c r="V182" s="3841"/>
      <c r="W182" s="3842"/>
      <c r="NP182" s="2851"/>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9"/>
      <c r="I184" s="2929"/>
      <c r="J184" s="2929"/>
      <c r="K184" s="2929"/>
      <c r="L184" s="2929"/>
      <c r="M184" s="2929"/>
      <c r="N184" s="2929"/>
      <c r="O184" s="2929"/>
      <c r="P184" s="2929"/>
      <c r="Q184" s="2929"/>
      <c r="R184" s="768"/>
      <c r="S184" s="3855"/>
      <c r="T184" s="3856"/>
      <c r="U184" s="3856"/>
      <c r="V184" s="3856"/>
      <c r="W184" s="3857"/>
    </row>
    <row r="185" spans="1:493" ht="15.6" customHeight="1">
      <c r="B185" s="109" t="s">
        <v>711</v>
      </c>
      <c r="C185" s="3885"/>
      <c r="D185" s="3886"/>
      <c r="E185" s="3886"/>
      <c r="F185" s="3887"/>
      <c r="H185" s="2930"/>
      <c r="I185" s="2930"/>
      <c r="J185" s="2930"/>
      <c r="K185" s="2930"/>
      <c r="L185" s="2931"/>
      <c r="M185" s="2930"/>
      <c r="N185" s="2930"/>
      <c r="O185" s="2930"/>
      <c r="P185" s="2930"/>
      <c r="Q185" s="2930"/>
      <c r="R185" s="768"/>
      <c r="S185" s="3834"/>
      <c r="T185" s="3835"/>
      <c r="U185" s="3835"/>
      <c r="V185" s="3835"/>
      <c r="W185" s="3836"/>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0"/>
      <c r="T186" s="3841"/>
      <c r="U186" s="3841"/>
      <c r="V186" s="3841"/>
      <c r="W186" s="3842"/>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9"/>
      <c r="I189" s="2929"/>
      <c r="J189" s="2929"/>
      <c r="K189" s="2929"/>
      <c r="L189" s="2932"/>
      <c r="M189" s="2929"/>
      <c r="N189" s="2929"/>
      <c r="O189" s="2929"/>
      <c r="P189" s="2929"/>
      <c r="Q189" s="2929"/>
      <c r="R189" s="768"/>
      <c r="S189" s="3855"/>
      <c r="T189" s="3856"/>
      <c r="U189" s="3856"/>
      <c r="V189" s="3856"/>
      <c r="W189" s="3857"/>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5"/>
      <c r="D190" s="3886"/>
      <c r="E190" s="3886"/>
      <c r="F190" s="3887"/>
      <c r="H190" s="2930"/>
      <c r="I190" s="2930"/>
      <c r="J190" s="2930"/>
      <c r="K190" s="2930"/>
      <c r="L190" s="2931"/>
      <c r="M190" s="2930"/>
      <c r="N190" s="2930"/>
      <c r="O190" s="2930"/>
      <c r="P190" s="2930"/>
      <c r="Q190" s="2930"/>
      <c r="R190" s="768"/>
      <c r="S190" s="3834"/>
      <c r="T190" s="3835"/>
      <c r="U190" s="3835"/>
      <c r="V190" s="3835"/>
      <c r="W190" s="3836"/>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0"/>
      <c r="T191" s="3841"/>
      <c r="U191" s="3841"/>
      <c r="V191" s="3841"/>
      <c r="W191" s="3842"/>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9"/>
      <c r="I193" s="2929"/>
      <c r="J193" s="2929"/>
      <c r="K193" s="2929"/>
      <c r="L193" s="2932"/>
      <c r="M193" s="2929"/>
      <c r="N193" s="2929"/>
      <c r="O193" s="2929"/>
      <c r="P193" s="2929"/>
      <c r="Q193" s="2929"/>
      <c r="R193" s="768"/>
      <c r="S193" s="3855"/>
      <c r="T193" s="3856"/>
      <c r="U193" s="3856"/>
      <c r="V193" s="3856"/>
      <c r="W193" s="3857"/>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5"/>
      <c r="D194" s="3886"/>
      <c r="E194" s="3886"/>
      <c r="F194" s="3887"/>
      <c r="H194" s="2930"/>
      <c r="I194" s="2930"/>
      <c r="J194" s="2930"/>
      <c r="K194" s="2930"/>
      <c r="L194" s="2931"/>
      <c r="M194" s="2930"/>
      <c r="N194" s="2930"/>
      <c r="O194" s="2930"/>
      <c r="P194" s="2930"/>
      <c r="Q194" s="2930"/>
      <c r="R194" s="768"/>
      <c r="S194" s="3834"/>
      <c r="T194" s="3835"/>
      <c r="U194" s="3835"/>
      <c r="V194" s="3835"/>
      <c r="W194" s="3836"/>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0"/>
      <c r="T195" s="3841"/>
      <c r="U195" s="3841"/>
      <c r="V195" s="3841"/>
      <c r="W195" s="3842"/>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9"/>
      <c r="I198" s="2929"/>
      <c r="J198" s="2929"/>
      <c r="K198" s="2929"/>
      <c r="L198" s="2932"/>
      <c r="M198" s="2929"/>
      <c r="N198" s="2929"/>
      <c r="O198" s="2929"/>
      <c r="P198" s="2929"/>
      <c r="Q198" s="2929"/>
      <c r="R198" s="768"/>
      <c r="S198" s="3855"/>
      <c r="T198" s="3856"/>
      <c r="U198" s="3856"/>
      <c r="V198" s="3856"/>
      <c r="W198" s="3857"/>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5"/>
      <c r="D199" s="3886"/>
      <c r="E199" s="3886"/>
      <c r="F199" s="3887"/>
      <c r="H199" s="2930"/>
      <c r="I199" s="2930"/>
      <c r="J199" s="2930"/>
      <c r="K199" s="2930"/>
      <c r="L199" s="2931"/>
      <c r="M199" s="2930"/>
      <c r="N199" s="2930"/>
      <c r="O199" s="2930"/>
      <c r="P199" s="2930"/>
      <c r="Q199" s="2930"/>
      <c r="R199" s="768"/>
      <c r="S199" s="3834"/>
      <c r="T199" s="3835"/>
      <c r="U199" s="3835"/>
      <c r="V199" s="3835"/>
      <c r="W199" s="3836"/>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0"/>
      <c r="T200" s="3841"/>
      <c r="U200" s="3841"/>
      <c r="V200" s="3841"/>
      <c r="W200" s="3842"/>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9"/>
      <c r="I202" s="2929"/>
      <c r="J202" s="2929"/>
      <c r="K202" s="2929"/>
      <c r="L202" s="2932"/>
      <c r="M202" s="2929"/>
      <c r="N202" s="2929"/>
      <c r="O202" s="2929"/>
      <c r="P202" s="2929"/>
      <c r="Q202" s="2929"/>
      <c r="R202" s="768"/>
      <c r="S202" s="3855"/>
      <c r="T202" s="3856"/>
      <c r="U202" s="3856"/>
      <c r="V202" s="3856"/>
      <c r="W202" s="3857"/>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5"/>
      <c r="D203" s="3886"/>
      <c r="E203" s="3886"/>
      <c r="F203" s="3887"/>
      <c r="H203" s="2930"/>
      <c r="I203" s="2930"/>
      <c r="J203" s="2930"/>
      <c r="K203" s="2930"/>
      <c r="L203" s="2931"/>
      <c r="M203" s="2930"/>
      <c r="N203" s="2930"/>
      <c r="O203" s="2930"/>
      <c r="P203" s="2930"/>
      <c r="Q203" s="2930"/>
      <c r="R203" s="768"/>
      <c r="S203" s="3834"/>
      <c r="T203" s="3835"/>
      <c r="U203" s="3835"/>
      <c r="V203" s="3835"/>
      <c r="W203" s="3836"/>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0"/>
      <c r="T204" s="3841"/>
      <c r="U204" s="3841"/>
      <c r="V204" s="3841"/>
      <c r="W204" s="3842"/>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9"/>
      <c r="I207" s="2929"/>
      <c r="J207" s="2929"/>
      <c r="K207" s="2929"/>
      <c r="L207" s="2932"/>
      <c r="M207" s="89"/>
      <c r="N207" s="89"/>
      <c r="O207" s="89"/>
      <c r="P207" s="89"/>
      <c r="Q207" s="89"/>
      <c r="R207" s="8"/>
      <c r="S207" s="3855"/>
      <c r="T207" s="3856"/>
      <c r="U207" s="3856"/>
      <c r="V207" s="3856"/>
      <c r="W207" s="3857"/>
    </row>
    <row r="208" spans="1:493" ht="15.6" customHeight="1">
      <c r="B208" s="109" t="s">
        <v>711</v>
      </c>
      <c r="C208" s="3885"/>
      <c r="D208" s="3886"/>
      <c r="E208" s="3886"/>
      <c r="F208" s="3887"/>
      <c r="H208" s="2930"/>
      <c r="I208" s="2930"/>
      <c r="J208" s="2930"/>
      <c r="K208" s="2930"/>
      <c r="L208" s="2931"/>
      <c r="M208" s="89"/>
      <c r="N208" s="89"/>
      <c r="O208" s="89"/>
      <c r="P208" s="89"/>
      <c r="Q208" s="89"/>
      <c r="R208" s="8"/>
      <c r="S208" s="3834"/>
      <c r="T208" s="3835"/>
      <c r="U208" s="3835"/>
      <c r="V208" s="3835"/>
      <c r="W208" s="3836"/>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0"/>
      <c r="T209" s="3841"/>
      <c r="U209" s="3841"/>
      <c r="V209" s="3841"/>
      <c r="W209" s="3842"/>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9"/>
      <c r="I211" s="2929"/>
      <c r="J211" s="2929"/>
      <c r="K211" s="2929"/>
      <c r="L211" s="2932"/>
      <c r="M211" s="89"/>
      <c r="N211" s="89"/>
      <c r="O211" s="89"/>
      <c r="P211" s="89"/>
      <c r="Q211" s="89"/>
      <c r="R211" s="8"/>
      <c r="S211" s="3855"/>
      <c r="T211" s="3856"/>
      <c r="U211" s="3856"/>
      <c r="V211" s="3856"/>
      <c r="W211" s="3857"/>
    </row>
    <row r="212" spans="1:493" ht="15.6" customHeight="1">
      <c r="B212" s="109" t="s">
        <v>711</v>
      </c>
      <c r="C212" s="3885"/>
      <c r="D212" s="3886"/>
      <c r="E212" s="3886"/>
      <c r="F212" s="3887"/>
      <c r="H212" s="2930"/>
      <c r="I212" s="2930"/>
      <c r="J212" s="2930"/>
      <c r="K212" s="2930"/>
      <c r="L212" s="2931"/>
      <c r="M212" s="89"/>
      <c r="N212" s="89"/>
      <c r="O212" s="89"/>
      <c r="P212" s="89"/>
      <c r="Q212" s="89"/>
      <c r="R212" s="8"/>
      <c r="S212" s="3834"/>
      <c r="T212" s="3835"/>
      <c r="U212" s="3835"/>
      <c r="V212" s="3835"/>
      <c r="W212" s="3836"/>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0"/>
      <c r="T213" s="3841"/>
      <c r="U213" s="3841"/>
      <c r="V213" s="3841"/>
      <c r="W213" s="3842"/>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29632</v>
      </c>
      <c r="R217" s="1"/>
      <c r="S217" s="3855"/>
      <c r="T217" s="3856"/>
      <c r="U217" s="3856"/>
      <c r="V217" s="3856"/>
      <c r="W217" s="3857"/>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88">
        <v>48100</v>
      </c>
      <c r="G218" s="3889"/>
      <c r="H218" s="1"/>
      <c r="I218" s="1" t="s">
        <v>1329</v>
      </c>
      <c r="K218" s="1"/>
      <c r="L218" s="3888"/>
      <c r="M218" s="3889"/>
      <c r="N218" s="1"/>
      <c r="O218" s="384">
        <f>+Q217/(P67*0.93)</f>
        <v>442.53285543608121</v>
      </c>
      <c r="P218" s="66" t="s">
        <v>2586</v>
      </c>
      <c r="Q218" s="1"/>
      <c r="R218" s="768"/>
      <c r="S218" s="3834"/>
      <c r="T218" s="3835"/>
      <c r="U218" s="3835"/>
      <c r="V218" s="3835"/>
      <c r="W218" s="3836"/>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1">
        <v>38100</v>
      </c>
      <c r="G219" s="3882"/>
      <c r="H219" s="1"/>
      <c r="I219" s="1" t="s">
        <v>1330</v>
      </c>
      <c r="K219" s="1"/>
      <c r="L219" s="3869"/>
      <c r="M219" s="3870"/>
      <c r="N219" s="1"/>
      <c r="O219" s="384">
        <f>+Q217/(P67*0.93)/12</f>
        <v>36.877737953006765</v>
      </c>
      <c r="P219" s="66" t="s">
        <v>2587</v>
      </c>
      <c r="Q219" s="1"/>
      <c r="R219" s="768"/>
      <c r="S219" s="3834"/>
      <c r="T219" s="3835"/>
      <c r="U219" s="3835"/>
      <c r="V219" s="3835"/>
      <c r="W219" s="3836"/>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1">
        <v>20000</v>
      </c>
      <c r="G220" s="3882"/>
      <c r="H220" s="1"/>
      <c r="I220" s="1"/>
      <c r="K220" s="121" t="s">
        <v>183</v>
      </c>
      <c r="L220" s="3871">
        <f>SUM(L218:M219)</f>
        <v>0</v>
      </c>
      <c r="M220" s="3872"/>
      <c r="N220" s="1"/>
      <c r="O220" s="36" t="s">
        <v>3354</v>
      </c>
      <c r="P220" s="848"/>
      <c r="Q220" s="848"/>
      <c r="R220" s="768"/>
      <c r="S220" s="3834"/>
      <c r="T220" s="3835"/>
      <c r="U220" s="3835"/>
      <c r="V220" s="3835"/>
      <c r="W220" s="3836"/>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881"/>
      <c r="G221" s="3882"/>
      <c r="H221" s="1"/>
      <c r="I221" s="1"/>
      <c r="K221" s="1"/>
      <c r="L221" s="1"/>
      <c r="M221" s="1"/>
      <c r="N221" s="1"/>
      <c r="R221" s="768"/>
      <c r="S221" s="3834"/>
      <c r="T221" s="3835"/>
      <c r="U221" s="3835"/>
      <c r="V221" s="3835"/>
      <c r="W221" s="3836"/>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881"/>
      <c r="G222" s="3882"/>
      <c r="H222" s="1"/>
      <c r="I222" s="1"/>
      <c r="K222" s="1"/>
      <c r="L222" s="1"/>
      <c r="M222" s="1"/>
      <c r="N222" s="1"/>
      <c r="R222" s="768"/>
      <c r="S222" s="3834"/>
      <c r="T222" s="3835"/>
      <c r="U222" s="3835"/>
      <c r="V222" s="3835"/>
      <c r="W222" s="3836"/>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1" t="s">
        <v>46</v>
      </c>
      <c r="C223" s="3892"/>
      <c r="D223" s="3892"/>
      <c r="E223" s="3893"/>
      <c r="F223" s="3869"/>
      <c r="G223" s="3870"/>
      <c r="H223" s="1"/>
      <c r="I223" s="10" t="s">
        <v>1244</v>
      </c>
      <c r="K223" s="1"/>
      <c r="L223" s="1"/>
      <c r="M223" s="1"/>
      <c r="N223" s="1"/>
      <c r="R223" s="768"/>
      <c r="S223" s="3834"/>
      <c r="T223" s="3835"/>
      <c r="U223" s="3835"/>
      <c r="V223" s="3835"/>
      <c r="W223" s="3836"/>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1">
        <f>SUM(F218:G223)</f>
        <v>106200</v>
      </c>
      <c r="G224" s="3872"/>
      <c r="H224" s="1"/>
      <c r="I224" s="1" t="s">
        <v>1536</v>
      </c>
      <c r="K224" s="1"/>
      <c r="L224" s="3875">
        <v>2500</v>
      </c>
      <c r="M224" s="3876"/>
      <c r="N224" s="1"/>
      <c r="R224" s="1"/>
      <c r="S224" s="3834"/>
      <c r="T224" s="3835"/>
      <c r="U224" s="3835"/>
      <c r="V224" s="3835"/>
      <c r="W224" s="3836"/>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79">
        <v>5000</v>
      </c>
      <c r="M225" s="3880"/>
      <c r="N225" s="3890" t="str">
        <f>IF(Q227="","",IF(Q225&lt;Q227, "WARNING! OE below required minimum.",""))</f>
        <v/>
      </c>
      <c r="O225" s="10" t="s">
        <v>2091</v>
      </c>
      <c r="P225" s="5"/>
      <c r="Q225" s="393">
        <f>F224+F233+F244+L220+L228+L237+L244+Q217</f>
        <v>335582</v>
      </c>
      <c r="R225" s="5"/>
      <c r="S225" s="3834"/>
      <c r="T225" s="3835"/>
      <c r="U225" s="3835"/>
      <c r="V225" s="3835"/>
      <c r="W225" s="3836"/>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9">
        <v>5000</v>
      </c>
      <c r="M226" s="3880"/>
      <c r="N226" s="3890"/>
      <c r="O226" s="66" t="s">
        <v>2588</v>
      </c>
      <c r="P226" s="384">
        <f>+Q225/P67</f>
        <v>4660.8611111111113</v>
      </c>
      <c r="R226" s="769"/>
      <c r="S226" s="3834"/>
      <c r="T226" s="3835"/>
      <c r="U226" s="3835"/>
      <c r="V226" s="3835"/>
      <c r="W226" s="3836"/>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1"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8">
        <v>7500</v>
      </c>
      <c r="G227" s="3889"/>
      <c r="H227" s="1"/>
      <c r="I227" s="3895" t="s">
        <v>46</v>
      </c>
      <c r="J227" s="3896"/>
      <c r="K227" s="3897"/>
      <c r="L227" s="3883"/>
      <c r="M227" s="3884"/>
      <c r="N227" s="3890"/>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324000</v>
      </c>
      <c r="R227" s="1"/>
      <c r="S227" s="3834"/>
      <c r="T227" s="3835"/>
      <c r="U227" s="3835"/>
      <c r="V227" s="3835"/>
      <c r="W227" s="3836"/>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1">
        <v>7200</v>
      </c>
      <c r="G228" s="3882"/>
      <c r="H228" s="1"/>
      <c r="I228" s="10"/>
      <c r="K228" s="11" t="s">
        <v>183</v>
      </c>
      <c r="L228" s="3860">
        <f>SUM(L224:L227)</f>
        <v>12500</v>
      </c>
      <c r="M228" s="3894"/>
      <c r="N228" s="3890"/>
      <c r="R228" s="1"/>
      <c r="S228" s="3834"/>
      <c r="T228" s="3835"/>
      <c r="U228" s="3835"/>
      <c r="V228" s="3835"/>
      <c r="W228" s="3836"/>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1">
        <v>2000</v>
      </c>
      <c r="G229" s="3882"/>
      <c r="H229" s="1"/>
      <c r="N229" s="1"/>
      <c r="R229" s="2666"/>
      <c r="S229" s="3834"/>
      <c r="T229" s="3835"/>
      <c r="U229" s="3835"/>
      <c r="V229" s="3835"/>
      <c r="W229" s="3836"/>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81"/>
      <c r="G230" s="3882"/>
      <c r="H230" s="1"/>
      <c r="L230" s="1"/>
      <c r="M230" s="1"/>
      <c r="N230" s="1"/>
      <c r="R230" s="2666"/>
      <c r="S230" s="3834"/>
      <c r="T230" s="3835"/>
      <c r="U230" s="3835"/>
      <c r="V230" s="3835"/>
      <c r="W230" s="3836"/>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1"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1"/>
      <c r="G231" s="3882"/>
      <c r="H231" s="1"/>
      <c r="I231" s="10" t="s">
        <v>1326</v>
      </c>
      <c r="K231" s="2624" t="s">
        <v>4065</v>
      </c>
      <c r="O231" s="1395" t="s">
        <v>3206</v>
      </c>
      <c r="P231" s="10"/>
      <c r="Q231" s="2933">
        <f>Q240</f>
        <v>18000</v>
      </c>
      <c r="S231" s="3834"/>
      <c r="T231" s="3835"/>
      <c r="U231" s="3835"/>
      <c r="V231" s="3835"/>
      <c r="W231" s="3836"/>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1" t="s">
        <v>6924</v>
      </c>
      <c r="C232" s="3892"/>
      <c r="D232" s="3892"/>
      <c r="E232" s="3893"/>
      <c r="F232" s="3869">
        <v>11000</v>
      </c>
      <c r="G232" s="3870"/>
      <c r="H232" s="1"/>
      <c r="I232" s="1" t="s">
        <v>1319</v>
      </c>
      <c r="K232" s="438">
        <f>L232/12/P67</f>
        <v>5.7870370370370372</v>
      </c>
      <c r="L232" s="3875">
        <v>5000</v>
      </c>
      <c r="M232" s="3876"/>
      <c r="N232" s="3864" t="str">
        <f>IF(Q231&lt;Q240, "WARNING! RR proposed is below the DCA required minimum.","")</f>
        <v/>
      </c>
      <c r="O232" s="871" t="s">
        <v>4064</v>
      </c>
      <c r="P232" s="866"/>
      <c r="Q232" s="872">
        <f>Q231/P240</f>
        <v>250</v>
      </c>
      <c r="R232" s="768"/>
      <c r="S232" s="3834"/>
      <c r="T232" s="3835"/>
      <c r="U232" s="3835"/>
      <c r="V232" s="3835"/>
      <c r="W232" s="3836"/>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1">
        <f>SUM(F227:G232)</f>
        <v>27700</v>
      </c>
      <c r="G233" s="3872"/>
      <c r="H233" s="1"/>
      <c r="I233" s="1" t="s">
        <v>1320</v>
      </c>
      <c r="K233" s="438">
        <f>L233/12/P67</f>
        <v>0</v>
      </c>
      <c r="L233" s="3879"/>
      <c r="M233" s="3880"/>
      <c r="N233" s="3865"/>
      <c r="O233" s="3866" t="s">
        <v>3362</v>
      </c>
      <c r="P233" s="3867"/>
      <c r="Q233" s="3868"/>
      <c r="S233" s="3834"/>
      <c r="T233" s="3835"/>
      <c r="U233" s="3835"/>
      <c r="V233" s="3835"/>
      <c r="W233" s="3836"/>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46.296296296296298</v>
      </c>
      <c r="L234" s="3879">
        <v>40000</v>
      </c>
      <c r="M234" s="3880"/>
      <c r="N234" s="3865"/>
      <c r="O234" s="865" t="s">
        <v>2561</v>
      </c>
      <c r="P234" s="765" t="s">
        <v>3419</v>
      </c>
      <c r="Q234" s="867" t="s">
        <v>3174</v>
      </c>
      <c r="R234" s="5"/>
      <c r="S234" s="3834"/>
      <c r="T234" s="3835"/>
      <c r="U234" s="3835"/>
      <c r="V234" s="3835"/>
      <c r="W234" s="3836"/>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1"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9">
        <v>15000</v>
      </c>
      <c r="M235" s="3880"/>
      <c r="N235" s="3865"/>
      <c r="O235" s="568" t="s">
        <v>36</v>
      </c>
      <c r="P235" s="569"/>
      <c r="Q235" s="570"/>
      <c r="R235" s="769"/>
      <c r="S235" s="3834"/>
      <c r="T235" s="3835"/>
      <c r="U235" s="3835"/>
      <c r="V235" s="3835"/>
      <c r="W235" s="3836"/>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3">
        <v>11000</v>
      </c>
      <c r="G236" s="3874"/>
      <c r="H236" s="1"/>
      <c r="I236" s="3895" t="s">
        <v>6925</v>
      </c>
      <c r="J236" s="3896"/>
      <c r="K236" s="3897"/>
      <c r="L236" s="3883">
        <v>2500</v>
      </c>
      <c r="M236" s="3884"/>
      <c r="N236" s="3865"/>
      <c r="O236" s="464" t="s">
        <v>3172</v>
      </c>
      <c r="P236" s="770" t="str">
        <f>CONCATENATE(SUM(MF49:MJ49)," units x $",'DCA Underwriting Assumptions'!$Q$68," =")</f>
        <v>0 units x $350 =</v>
      </c>
      <c r="Q236" s="571">
        <f>SUM(MF49:MJ49)*'DCA Underwriting Assumptions'!$Q$68</f>
        <v>0</v>
      </c>
      <c r="R236" s="2934"/>
      <c r="S236" s="3834"/>
      <c r="T236" s="3835"/>
      <c r="U236" s="3835"/>
      <c r="V236" s="3835"/>
      <c r="W236" s="3836"/>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7"/>
      <c r="G237" s="3878"/>
      <c r="H237" s="1"/>
      <c r="I237" s="1"/>
      <c r="K237" s="11" t="s">
        <v>183</v>
      </c>
      <c r="L237" s="3860">
        <f>SUM(L232:L236)</f>
        <v>62500</v>
      </c>
      <c r="M237" s="3894"/>
      <c r="N237" s="3865"/>
      <c r="O237" s="464" t="s">
        <v>3171</v>
      </c>
      <c r="P237" s="770" t="str">
        <f>CONCATENATE(SUM(MK49:MO49)," units x $",'DCA Underwriting Assumptions'!$Q$69," =")</f>
        <v>72 units x $250 =</v>
      </c>
      <c r="Q237" s="571">
        <f>SUM(MK49:MO49)*'DCA Underwriting Assumptions'!$Q$69</f>
        <v>18000</v>
      </c>
      <c r="S237" s="3834"/>
      <c r="T237" s="3835"/>
      <c r="U237" s="3835"/>
      <c r="V237" s="3835"/>
      <c r="W237" s="3836"/>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7">
        <v>5000</v>
      </c>
      <c r="G238" s="3878"/>
      <c r="H238" s="1"/>
      <c r="K238" s="1"/>
      <c r="L238" s="1"/>
      <c r="N238" s="3865"/>
      <c r="O238" s="572" t="s">
        <v>6836</v>
      </c>
      <c r="P238" s="770" t="str">
        <f>CONCATENATE(SUM(MP49:MT49)," units x $",'DCA Underwriting Assumptions'!$Q$70," =")</f>
        <v>0 units x $420 =</v>
      </c>
      <c r="Q238" s="571">
        <f>SUM(MP49:MT49)*'DCA Underwriting Assumptions'!$Q$70</f>
        <v>0</v>
      </c>
      <c r="R238" s="765"/>
      <c r="S238" s="3834"/>
      <c r="T238" s="3835"/>
      <c r="U238" s="3835"/>
      <c r="V238" s="3835"/>
      <c r="W238" s="3836"/>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1">
        <v>3500</v>
      </c>
      <c r="G239" s="3882"/>
      <c r="H239" s="1"/>
      <c r="O239" s="572" t="s">
        <v>3170</v>
      </c>
      <c r="P239" s="770" t="str">
        <f>CONCATENATE(P125," units x $",'DCA Underwriting Assumptions'!$Q$70," =")</f>
        <v>0 units x $420 =</v>
      </c>
      <c r="Q239" s="571">
        <f>P125*'DCA Underwriting Assumptions'!$Q$70</f>
        <v>0</v>
      </c>
      <c r="R239" s="569"/>
      <c r="S239" s="3834"/>
      <c r="T239" s="3835"/>
      <c r="U239" s="3835"/>
      <c r="V239" s="3835"/>
      <c r="W239" s="3836"/>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1"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1">
        <v>5500</v>
      </c>
      <c r="G240" s="3882"/>
      <c r="H240" s="1"/>
      <c r="I240" s="10" t="s">
        <v>1327</v>
      </c>
      <c r="O240" s="868" t="s">
        <v>2564</v>
      </c>
      <c r="P240" s="869">
        <f>SUM(MF49:MJ49)+SUM(MK49:MO49)+SUM(MP49:MT49)+P125</f>
        <v>72</v>
      </c>
      <c r="Q240" s="870">
        <f>SUM(Q236:Q239)</f>
        <v>18000</v>
      </c>
      <c r="R240" s="770"/>
      <c r="S240" s="3834"/>
      <c r="T240" s="3835"/>
      <c r="U240" s="3835"/>
      <c r="V240" s="3835"/>
      <c r="W240" s="3836"/>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1"/>
      <c r="G241" s="3882"/>
      <c r="H241" s="1"/>
      <c r="I241" s="93" t="s">
        <v>4123</v>
      </c>
      <c r="K241" s="1"/>
      <c r="L241" s="3875">
        <v>42050</v>
      </c>
      <c r="M241" s="3876"/>
      <c r="R241" s="770"/>
      <c r="S241" s="3834"/>
      <c r="T241" s="3835"/>
      <c r="U241" s="3835"/>
      <c r="V241" s="3835"/>
      <c r="W241" s="3836"/>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1">
        <v>5000</v>
      </c>
      <c r="G242" s="3882"/>
      <c r="H242" s="1"/>
      <c r="I242" s="1" t="s">
        <v>139</v>
      </c>
      <c r="K242" s="1"/>
      <c r="L242" s="3879">
        <v>25000</v>
      </c>
      <c r="M242" s="3880"/>
      <c r="R242" s="770"/>
      <c r="S242" s="3834"/>
      <c r="T242" s="3835"/>
      <c r="U242" s="3835"/>
      <c r="V242" s="3835"/>
      <c r="W242" s="3836"/>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1" t="s">
        <v>46</v>
      </c>
      <c r="C243" s="3892"/>
      <c r="D243" s="3892"/>
      <c r="E243" s="3893"/>
      <c r="F243" s="3869"/>
      <c r="G243" s="3870"/>
      <c r="H243" s="1"/>
      <c r="I243" s="3895" t="s">
        <v>46</v>
      </c>
      <c r="J243" s="3896"/>
      <c r="K243" s="3897"/>
      <c r="L243" s="3898"/>
      <c r="M243" s="3899"/>
      <c r="N243" s="1"/>
      <c r="R243" s="770"/>
      <c r="S243" s="3834"/>
      <c r="T243" s="3835"/>
      <c r="U243" s="3835"/>
      <c r="V243" s="3835"/>
      <c r="W243" s="3836"/>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1"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2">
        <f>SUM(F236:G243)</f>
        <v>30000</v>
      </c>
      <c r="G244" s="3863"/>
      <c r="H244" s="1"/>
      <c r="K244" s="11" t="s">
        <v>183</v>
      </c>
      <c r="L244" s="3860">
        <f>SUM(L240:L243)</f>
        <v>67050</v>
      </c>
      <c r="M244" s="3861"/>
      <c r="N244" s="1"/>
      <c r="O244" s="10" t="s">
        <v>2092</v>
      </c>
      <c r="P244" s="1"/>
      <c r="Q244" s="393">
        <f>Q225+Q231</f>
        <v>353582</v>
      </c>
      <c r="R244" s="770"/>
      <c r="S244" s="3840"/>
      <c r="T244" s="3841"/>
      <c r="U244" s="3841"/>
      <c r="V244" s="3841"/>
      <c r="W244" s="3842"/>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927"/>
      <c r="L248" s="3928"/>
      <c r="M248" s="1359" t="s">
        <v>4092</v>
      </c>
      <c r="N248" s="2935"/>
      <c r="O248" s="10" t="s">
        <v>4057</v>
      </c>
      <c r="P248" s="1"/>
      <c r="Q248" s="2936">
        <f>K248*N248</f>
        <v>0</v>
      </c>
      <c r="R248" s="768"/>
      <c r="S248" s="3852"/>
      <c r="T248" s="3853"/>
      <c r="U248" s="3853"/>
      <c r="V248" s="3853"/>
      <c r="W248" s="3854"/>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5" t="s">
        <v>1691</v>
      </c>
      <c r="K250" s="1306" t="s">
        <v>4095</v>
      </c>
      <c r="L250" s="2845" t="s">
        <v>1691</v>
      </c>
      <c r="M250" s="72" t="s">
        <v>4096</v>
      </c>
      <c r="N250" s="2935"/>
      <c r="O250" s="445" t="s">
        <v>4094</v>
      </c>
      <c r="P250" s="1"/>
      <c r="Q250" s="2937"/>
      <c r="R250" s="768"/>
      <c r="S250" s="3852"/>
      <c r="T250" s="3853"/>
      <c r="U250" s="3853"/>
      <c r="V250" s="3853"/>
      <c r="W250" s="3854"/>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1"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4053</v>
      </c>
      <c r="O252" s="13"/>
      <c r="NP252" s="2851"/>
    </row>
    <row r="253" spans="1:493" ht="408.75" customHeight="1">
      <c r="A253" s="3472" t="s">
        <v>6988</v>
      </c>
      <c r="B253" s="3472"/>
      <c r="C253" s="3472"/>
      <c r="D253" s="3472"/>
      <c r="E253" s="3472"/>
      <c r="F253" s="3472"/>
      <c r="G253" s="3472"/>
      <c r="H253" s="3472"/>
      <c r="I253" s="3472"/>
      <c r="J253" s="3472"/>
      <c r="K253" s="3472"/>
      <c r="L253" s="3472"/>
      <c r="M253" s="3472"/>
      <c r="N253" s="3471"/>
      <c r="O253" s="3471"/>
      <c r="P253" s="3471"/>
      <c r="Q253" s="3471"/>
      <c r="R253" s="3859" t="s">
        <v>3524</v>
      </c>
      <c r="S253" s="3133"/>
      <c r="T253" s="3133"/>
      <c r="U253" s="3133"/>
      <c r="NP253" s="2851"/>
    </row>
    <row r="254" spans="1:493" ht="11.25" customHeight="1">
      <c r="NP254" s="2851"/>
    </row>
    <row r="255" spans="1:493" ht="12" customHeight="1">
      <c r="NP255" s="2851"/>
    </row>
    <row r="256" spans="1:493" ht="12" customHeight="1">
      <c r="NP256" s="2851"/>
    </row>
    <row r="257" spans="1:493" ht="14.1" customHeight="1">
      <c r="NP257" s="285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9"/>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1"/>
    </row>
    <row r="266" spans="1:493" ht="14.1" customHeight="1">
      <c r="NP266" s="2851"/>
    </row>
    <row r="267" spans="1:493" ht="14.1" customHeight="1">
      <c r="NP267" s="2851"/>
    </row>
    <row r="268" spans="1:493" ht="14.1" customHeight="1">
      <c r="NP268" s="285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9"/>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1"/>
    </row>
    <row r="276" spans="1:493" ht="14.1" customHeight="1">
      <c r="NP276" s="2851"/>
    </row>
    <row r="277" spans="1:493" ht="14.1" customHeight="1">
      <c r="NP277" s="2851"/>
    </row>
    <row r="278" spans="1:493" ht="14.1" customHeight="1">
      <c r="NP278" s="2851"/>
    </row>
    <row r="279" spans="1:493" ht="14.1" customHeight="1">
      <c r="NP279" s="285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9"/>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1"/>
    </row>
    <row r="288" spans="1:493" ht="14.1" customHeight="1">
      <c r="NP288" s="2851"/>
    </row>
    <row r="289" spans="380:380" ht="14.1" customHeight="1">
      <c r="NP289" s="2851"/>
    </row>
    <row r="290" spans="380:380" ht="14.1" customHeight="1">
      <c r="NP290" s="2851"/>
    </row>
    <row r="291" spans="380:380" ht="14.1" customHeight="1">
      <c r="NP291" s="2851"/>
    </row>
    <row r="292" spans="380:380" ht="14.1" customHeight="1"/>
    <row r="293" spans="380:380" ht="14.1" customHeight="1"/>
    <row r="294" spans="380:380" ht="14.1" customHeight="1"/>
    <row r="295" spans="380:380" ht="14.1" customHeight="1"/>
    <row r="296" spans="380:380" ht="14.1" customHeight="1"/>
  </sheetData>
  <sheetProtection algorithmName="SHA-512" hashValue="FwAFLXp1VahvXiGcQ0aNGRFY07UzKgOKR7Bv1ZNqZg9xfCONV85tGQsLgG0rXJMwXUyuNxEWnz0pU3unVrBQSA==" saltValue="qjKrLcxYShXunk+JzAxvW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 zoomScaleNormal="100" workbookViewId="0">
      <selection activeCell="A14"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8" bestFit="1" customWidth="1"/>
    <col min="27" max="27" width="8.85546875" style="1788"/>
    <col min="28" max="16384" width="8.85546875" style="8"/>
  </cols>
  <sheetData>
    <row r="1" spans="1:27" s="2808" customFormat="1" hidden="1">
      <c r="B1" s="2808" t="s">
        <v>6763</v>
      </c>
      <c r="C1" s="2808" t="s">
        <v>6764</v>
      </c>
      <c r="D1" s="2808" t="s">
        <v>6765</v>
      </c>
      <c r="E1" s="2808" t="s">
        <v>6766</v>
      </c>
      <c r="F1" s="2808" t="s">
        <v>6767</v>
      </c>
      <c r="G1" s="2808" t="s">
        <v>6768</v>
      </c>
      <c r="H1" s="2808" t="s">
        <v>6769</v>
      </c>
      <c r="I1" s="2808" t="s">
        <v>6770</v>
      </c>
      <c r="J1" s="2808" t="s">
        <v>6771</v>
      </c>
      <c r="K1" s="2808" t="s">
        <v>6772</v>
      </c>
      <c r="AA1" s="1788">
        <v>1</v>
      </c>
    </row>
    <row r="2" spans="1:27" s="16" customFormat="1" ht="14.1" customHeight="1">
      <c r="A2" s="3945" t="str">
        <f>CONCATENATE("PART SEVEN - OPERATING PRO FORMA","  -  ",'Part I-Project Information'!$O$7," ",'Part I-Project Information'!$F$35,", ",'Part I-Project Information'!F39,", ",'Part I-Project Information'!J40," County")</f>
        <v>PART SEVEN - OPERATING PRO FORMA  -  2021-041 Hunters Haven, Flemington, Liberty County</v>
      </c>
      <c r="B2" s="3946"/>
      <c r="C2" s="3946"/>
      <c r="D2" s="3946"/>
      <c r="E2" s="3946"/>
      <c r="F2" s="3946"/>
      <c r="G2" s="3946"/>
      <c r="H2" s="3946"/>
      <c r="I2" s="3946"/>
      <c r="J2" s="3946"/>
      <c r="K2" s="3947"/>
      <c r="L2" s="10"/>
      <c r="M2" s="10"/>
      <c r="N2" s="3948" t="str">
        <f>A2</f>
        <v>PART SEVEN - OPERATING PRO FORMA  -  2021-041 Hunters Haven, Flemington, Liberty County</v>
      </c>
      <c r="O2" s="3948"/>
      <c r="P2" s="10"/>
      <c r="Z2" s="2808"/>
      <c r="AA2" s="1787">
        <v>2</v>
      </c>
    </row>
    <row r="3" spans="1:27" ht="13.5" customHeight="1">
      <c r="A3" s="461"/>
      <c r="B3" s="461"/>
      <c r="C3" s="461"/>
      <c r="D3" s="461"/>
      <c r="E3" s="461"/>
      <c r="F3" s="461"/>
      <c r="G3" s="461"/>
      <c r="H3" s="461"/>
      <c r="I3" s="461"/>
      <c r="J3" s="461"/>
      <c r="K3" s="461"/>
      <c r="N3" s="3949" t="s">
        <v>1760</v>
      </c>
      <c r="O3" s="3949"/>
      <c r="AA3" s="1788">
        <v>3</v>
      </c>
    </row>
    <row r="4" spans="1:27" ht="13.5" customHeight="1">
      <c r="A4" s="13" t="s">
        <v>85</v>
      </c>
      <c r="C4" s="3950" t="str">
        <f>'Part I-Project Information'!$B$7</f>
        <v>2021 Core Application</v>
      </c>
      <c r="D4" s="1010" t="s">
        <v>75</v>
      </c>
      <c r="E4" s="214"/>
      <c r="F4" s="1011" t="s">
        <v>3555</v>
      </c>
      <c r="N4" s="13" t="str">
        <f>A4</f>
        <v>I.  OPERATING ASSUMPTIONS</v>
      </c>
      <c r="O4" s="31"/>
      <c r="AA4" s="1788">
        <v>4</v>
      </c>
    </row>
    <row r="5" spans="1:27" ht="2.4500000000000002" customHeight="1">
      <c r="A5" s="16"/>
      <c r="B5" s="16"/>
      <c r="C5" s="3950"/>
      <c r="H5" s="16"/>
      <c r="I5" s="16"/>
      <c r="AA5" s="1788">
        <v>5</v>
      </c>
    </row>
    <row r="6" spans="1:27" ht="13.5" customHeight="1">
      <c r="A6" s="16" t="s">
        <v>2093</v>
      </c>
      <c r="B6" s="77">
        <v>0.02</v>
      </c>
      <c r="C6" s="3950"/>
      <c r="D6" s="3905" t="s">
        <v>3556</v>
      </c>
      <c r="E6" s="3905"/>
      <c r="F6" s="3905"/>
      <c r="G6" s="2938">
        <v>7200</v>
      </c>
      <c r="H6" s="95" t="s">
        <v>1818</v>
      </c>
      <c r="K6" s="100">
        <f>IF(($B$15+$B$16+$B$17+$B$18)=0,"",B31/($B$15+$B$16+$B$17+$B$18))</f>
        <v>-1.336385102353067E-2</v>
      </c>
      <c r="N6" s="3855"/>
      <c r="O6" s="3857"/>
      <c r="AA6" s="1788">
        <v>6</v>
      </c>
    </row>
    <row r="7" spans="1:27">
      <c r="A7" s="16" t="s">
        <v>2094</v>
      </c>
      <c r="B7" s="77">
        <v>0.03</v>
      </c>
      <c r="C7" s="3950"/>
      <c r="D7" s="3905"/>
      <c r="E7" s="3905"/>
      <c r="F7" s="3905"/>
      <c r="G7" s="1012">
        <f>IF(OR('Part III-Sources of Funds'!E6="Yes",'Part III-Sources of Funds'!I6&gt;0),'DCA Underwriting Assumptions'!$Q$101,0)</f>
        <v>0</v>
      </c>
      <c r="H7" s="16"/>
      <c r="I7" s="16"/>
      <c r="J7" s="16"/>
      <c r="K7" s="16"/>
      <c r="N7" s="3834"/>
      <c r="O7" s="3836"/>
      <c r="AA7" s="1788">
        <v>7</v>
      </c>
    </row>
    <row r="8" spans="1:27">
      <c r="A8" s="16" t="s">
        <v>2096</v>
      </c>
      <c r="B8" s="77">
        <v>0.03</v>
      </c>
      <c r="C8" s="3950"/>
      <c r="D8" s="79" t="s">
        <v>259</v>
      </c>
      <c r="G8" s="81"/>
      <c r="H8" s="95" t="s">
        <v>2269</v>
      </c>
      <c r="K8" s="100">
        <f>IF(($B$15+$B$16+$B$17+$B$18)=0,"",-B22/($B$15+$B$16+$B$17+$B$18))</f>
        <v>5.4999671323508449E-2</v>
      </c>
      <c r="N8" s="3834"/>
      <c r="O8" s="3836"/>
      <c r="AA8" s="1788">
        <v>8</v>
      </c>
    </row>
    <row r="9" spans="1:27" ht="13.35" customHeight="1">
      <c r="A9" s="16" t="s">
        <v>2095</v>
      </c>
      <c r="B9" s="2939">
        <v>7.0000000000000007E-2</v>
      </c>
      <c r="C9" s="1297" t="str">
        <f>IF(B9&lt;0.07, "Must be &gt;= 7%!","")</f>
        <v/>
      </c>
      <c r="D9" s="78" t="s">
        <v>2391</v>
      </c>
      <c r="G9" s="2940" t="s">
        <v>2769</v>
      </c>
      <c r="H9" s="161" t="s">
        <v>1389</v>
      </c>
      <c r="K9" s="2941">
        <v>29632</v>
      </c>
      <c r="N9" s="3834"/>
      <c r="O9" s="3836"/>
      <c r="AA9" s="1788">
        <v>9</v>
      </c>
    </row>
    <row r="10" spans="1:27">
      <c r="A10" s="16" t="s">
        <v>1367</v>
      </c>
      <c r="B10" s="77">
        <v>0.02</v>
      </c>
      <c r="D10" s="78" t="s">
        <v>1641</v>
      </c>
      <c r="G10" s="2942" t="s">
        <v>2772</v>
      </c>
      <c r="H10" s="161" t="s">
        <v>2251</v>
      </c>
      <c r="K10" s="2943"/>
      <c r="N10" s="3840"/>
      <c r="O10" s="3842"/>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9" t="s">
        <v>2499</v>
      </c>
      <c r="O14" s="3529"/>
      <c r="AA14" s="1788">
        <v>14</v>
      </c>
    </row>
    <row r="15" spans="1:27" ht="13.35" customHeight="1">
      <c r="A15" s="18" t="s">
        <v>2294</v>
      </c>
      <c r="B15" s="19">
        <f>'Part VI-Revenues &amp; Expenses'!$M$50</f>
        <v>567960</v>
      </c>
      <c r="C15" s="19">
        <f t="shared" ref="C15:K15" si="1">$B$15*(1+$B$6)^(C14-1)</f>
        <v>579319.19999999995</v>
      </c>
      <c r="D15" s="19">
        <f t="shared" si="1"/>
        <v>590905.58400000003</v>
      </c>
      <c r="E15" s="19">
        <f t="shared" si="1"/>
        <v>602723.69568</v>
      </c>
      <c r="F15" s="19">
        <f t="shared" si="1"/>
        <v>614778.16959359997</v>
      </c>
      <c r="G15" s="19">
        <f t="shared" si="1"/>
        <v>627073.73298547196</v>
      </c>
      <c r="H15" s="19">
        <f t="shared" si="1"/>
        <v>639615.20764518145</v>
      </c>
      <c r="I15" s="19">
        <f t="shared" si="1"/>
        <v>652407.51179808495</v>
      </c>
      <c r="J15" s="19">
        <f t="shared" si="1"/>
        <v>665455.66203404672</v>
      </c>
      <c r="K15" s="20">
        <f t="shared" si="1"/>
        <v>678764.77527472761</v>
      </c>
      <c r="N15" s="3855"/>
      <c r="O15" s="3857"/>
      <c r="S15" s="3941" t="s">
        <v>3561</v>
      </c>
      <c r="Z15" s="2808" t="s">
        <v>6773</v>
      </c>
      <c r="AA15" s="1788">
        <v>15</v>
      </c>
    </row>
    <row r="16" spans="1:27" ht="13.35" customHeight="1">
      <c r="A16" s="21" t="s">
        <v>977</v>
      </c>
      <c r="B16" s="22">
        <f>MIN(B15*B10,'Part VI-Revenues &amp; Expenses'!$H$176)</f>
        <v>11359.2</v>
      </c>
      <c r="C16" s="22">
        <f t="shared" ref="C16:K16" si="2">$B$16*(1+$B$6)^(C14-1)</f>
        <v>11586.384000000002</v>
      </c>
      <c r="D16" s="22">
        <f t="shared" si="2"/>
        <v>11818.11168</v>
      </c>
      <c r="E16" s="22">
        <f t="shared" si="2"/>
        <v>12054.473913600001</v>
      </c>
      <c r="F16" s="22">
        <f t="shared" si="2"/>
        <v>12295.563391872001</v>
      </c>
      <c r="G16" s="22">
        <f t="shared" si="2"/>
        <v>12541.474659709442</v>
      </c>
      <c r="H16" s="22">
        <f t="shared" si="2"/>
        <v>12792.304152903631</v>
      </c>
      <c r="I16" s="22">
        <f t="shared" si="2"/>
        <v>13048.150235961701</v>
      </c>
      <c r="J16" s="22">
        <f t="shared" si="2"/>
        <v>13309.113240680936</v>
      </c>
      <c r="K16" s="23">
        <f t="shared" si="2"/>
        <v>13575.295505494554</v>
      </c>
      <c r="N16" s="3834"/>
      <c r="O16" s="3836"/>
      <c r="S16" s="3942"/>
      <c r="Z16" s="2808" t="s">
        <v>6773</v>
      </c>
      <c r="AA16" s="1788">
        <v>16</v>
      </c>
    </row>
    <row r="17" spans="1:27" ht="13.35" customHeight="1">
      <c r="A17" s="21" t="s">
        <v>2295</v>
      </c>
      <c r="B17" s="22">
        <f t="shared" ref="B17:K17" si="3">-(B15+B16)*$B$9</f>
        <v>-40552.343999999997</v>
      </c>
      <c r="C17" s="22">
        <f t="shared" si="3"/>
        <v>-41363.390879999999</v>
      </c>
      <c r="D17" s="22">
        <f t="shared" si="3"/>
        <v>-42190.658697600004</v>
      </c>
      <c r="E17" s="22">
        <f t="shared" si="3"/>
        <v>-43034.471871551999</v>
      </c>
      <c r="F17" s="22">
        <f t="shared" si="3"/>
        <v>-43895.161308983043</v>
      </c>
      <c r="G17" s="22">
        <f t="shared" si="3"/>
        <v>-44773.064535162703</v>
      </c>
      <c r="H17" s="22">
        <f t="shared" si="3"/>
        <v>-45668.52582586596</v>
      </c>
      <c r="I17" s="22">
        <f t="shared" si="3"/>
        <v>-46581.896342383268</v>
      </c>
      <c r="J17" s="22">
        <f t="shared" si="3"/>
        <v>-47513.534269230935</v>
      </c>
      <c r="K17" s="23">
        <f t="shared" si="3"/>
        <v>-48463.80495461556</v>
      </c>
      <c r="N17" s="3834"/>
      <c r="O17" s="3836"/>
      <c r="Q17" s="3944" t="s">
        <v>3438</v>
      </c>
      <c r="R17" s="3944" t="s">
        <v>3560</v>
      </c>
      <c r="S17" s="3942"/>
      <c r="Z17" s="2808"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4"/>
      <c r="O18" s="3836"/>
      <c r="Q18" s="3944"/>
      <c r="R18" s="3944"/>
      <c r="S18" s="3943"/>
      <c r="Z18" s="2808"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4"/>
      <c r="O19" s="3836"/>
      <c r="Z19" s="2808" t="s">
        <v>6773</v>
      </c>
      <c r="AA19" s="1788">
        <v>19</v>
      </c>
    </row>
    <row r="20" spans="1:27" ht="13.35" customHeight="1">
      <c r="A20" s="409" t="s">
        <v>4014</v>
      </c>
      <c r="B20" s="22">
        <f>SUM(B15:B19)</f>
        <v>538766.85599999991</v>
      </c>
      <c r="C20" s="22">
        <f t="shared" ref="C20:K20" si="4">SUM(C15:C19)</f>
        <v>549542.19311999995</v>
      </c>
      <c r="D20" s="22">
        <f t="shared" si="4"/>
        <v>560533.03698239999</v>
      </c>
      <c r="E20" s="22">
        <f t="shared" si="4"/>
        <v>571743.69772204803</v>
      </c>
      <c r="F20" s="22">
        <f t="shared" si="4"/>
        <v>583178.57167648897</v>
      </c>
      <c r="G20" s="22">
        <f t="shared" si="4"/>
        <v>594842.14311001869</v>
      </c>
      <c r="H20" s="22">
        <f t="shared" si="4"/>
        <v>606738.98597221915</v>
      </c>
      <c r="I20" s="22">
        <f t="shared" si="4"/>
        <v>618873.76569166337</v>
      </c>
      <c r="J20" s="22">
        <f t="shared" si="4"/>
        <v>631251.2410054967</v>
      </c>
      <c r="K20" s="23">
        <f t="shared" si="4"/>
        <v>643876.26582560665</v>
      </c>
      <c r="N20" s="3834"/>
      <c r="O20" s="3836"/>
      <c r="Z20" s="2808" t="s">
        <v>6773</v>
      </c>
      <c r="AA20" s="1787">
        <v>20</v>
      </c>
    </row>
    <row r="21" spans="1:27" ht="13.35" customHeight="1">
      <c r="A21" s="21" t="s">
        <v>585</v>
      </c>
      <c r="B21" s="22">
        <f>-('Part VI-Revenues &amp; Expenses'!$Q$225-'Part VI-Revenues &amp; Expenses'!$Q$217)</f>
        <v>-305950</v>
      </c>
      <c r="C21" s="22">
        <f t="shared" ref="C21:K21" si="5">$B$21*(1+$B$7)^(C14-1)</f>
        <v>-315128.5</v>
      </c>
      <c r="D21" s="22">
        <f t="shared" si="5"/>
        <v>-324582.35499999998</v>
      </c>
      <c r="E21" s="22">
        <f t="shared" si="5"/>
        <v>-334319.82565000001</v>
      </c>
      <c r="F21" s="22">
        <f t="shared" si="5"/>
        <v>-344349.42041949998</v>
      </c>
      <c r="G21" s="22">
        <f t="shared" si="5"/>
        <v>-354679.90303208493</v>
      </c>
      <c r="H21" s="22">
        <f t="shared" si="5"/>
        <v>-365320.30012304755</v>
      </c>
      <c r="I21" s="22">
        <f t="shared" si="5"/>
        <v>-376279.90912673896</v>
      </c>
      <c r="J21" s="22">
        <f t="shared" si="5"/>
        <v>-387568.3064005411</v>
      </c>
      <c r="K21" s="23">
        <f t="shared" si="5"/>
        <v>-399195.35559255735</v>
      </c>
      <c r="N21" s="3834"/>
      <c r="O21" s="3836"/>
      <c r="Q21" s="62">
        <v>1</v>
      </c>
      <c r="R21" s="945">
        <f>-B32</f>
        <v>36718</v>
      </c>
      <c r="S21" s="945">
        <f>B33+R21</f>
        <v>36718.351702619228</v>
      </c>
      <c r="Z21" s="2808"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-29632</v>
      </c>
      <c r="C22" s="22">
        <f>IF(AND('Part VII-Pro Forma'!$G$9="Yes",'Part VII-Pro Forma'!$G$10="Yes"),"Choose One!",IF('Part VII-Pro Forma'!$G$9="Yes",ROUND((-$K$9*(1+'Part VII-Pro Forma'!$B$7)^('Part VII-Pro Forma'!C14-1)),),IF('Part VII-Pro Forma'!$G$10="Yes",ROUND((-(SUM(C15:C18)*'Part VII-Pro Forma'!$K$10)),),"Choose mgt fee")))</f>
        <v>-30521</v>
      </c>
      <c r="D22" s="22">
        <f>IF(AND('Part VII-Pro Forma'!$G$9="Yes",'Part VII-Pro Forma'!$G$10="Yes"),"Choose One!",IF('Part VII-Pro Forma'!$G$9="Yes",ROUND((-$K$9*(1+'Part VII-Pro Forma'!$B$7)^('Part VII-Pro Forma'!D14-1)),),IF('Part VII-Pro Forma'!$G$10="Yes",ROUND((-(SUM(D15:D18)*'Part VII-Pro Forma'!$K$10)),),"Choose mgt fee")))</f>
        <v>-31437</v>
      </c>
      <c r="E22" s="22">
        <f>IF(AND('Part VII-Pro Forma'!$G$9="Yes",'Part VII-Pro Forma'!$G$10="Yes"),"Choose One!",IF('Part VII-Pro Forma'!$G$9="Yes",ROUND((-$K$9*(1+'Part VII-Pro Forma'!$B$7)^('Part VII-Pro Forma'!E14-1)),),IF('Part VII-Pro Forma'!$G$10="Yes",ROUND((-(SUM(E15:E18)*'Part VII-Pro Forma'!$K$10)),),"Choose mgt fee")))</f>
        <v>-32380</v>
      </c>
      <c r="F22" s="22">
        <f>IF(AND('Part VII-Pro Forma'!$G$9="Yes",'Part VII-Pro Forma'!$G$10="Yes"),"Choose One!",IF('Part VII-Pro Forma'!$G$9="Yes",ROUND((-$K$9*(1+'Part VII-Pro Forma'!$B$7)^('Part VII-Pro Forma'!F14-1)),),IF('Part VII-Pro Forma'!$G$10="Yes",ROUND((-(SUM(F15:F18)*'Part VII-Pro Forma'!$K$10)),),"Choose mgt fee")))</f>
        <v>-33351</v>
      </c>
      <c r="G22" s="22">
        <f>IF(AND('Part VII-Pro Forma'!$G$9="Yes",'Part VII-Pro Forma'!$G$10="Yes"),"Choose One!",IF('Part VII-Pro Forma'!$G$9="Yes",ROUND((-$K$9*(1+'Part VII-Pro Forma'!$B$7)^('Part VII-Pro Forma'!G14-1)),),IF('Part VII-Pro Forma'!$G$10="Yes",ROUND((-(SUM(G15:G18)*'Part VII-Pro Forma'!$K$10)),),"Choose mgt fee")))</f>
        <v>-34352</v>
      </c>
      <c r="H22" s="22">
        <f>IF(AND('Part VII-Pro Forma'!$G$9="Yes",'Part VII-Pro Forma'!$G$10="Yes"),"Choose One!",IF('Part VII-Pro Forma'!$G$9="Yes",ROUND((-$K$9*(1+'Part VII-Pro Forma'!$B$7)^('Part VII-Pro Forma'!H14-1)),),IF('Part VII-Pro Forma'!$G$10="Yes",ROUND((-(SUM(H15:H18)*'Part VII-Pro Forma'!$K$10)),),"Choose mgt fee")))</f>
        <v>-35382</v>
      </c>
      <c r="I22" s="22">
        <f>IF(AND('Part VII-Pro Forma'!$G$9="Yes",'Part VII-Pro Forma'!$G$10="Yes"),"Choose One!",IF('Part VII-Pro Forma'!$G$9="Yes",ROUND((-$K$9*(1+'Part VII-Pro Forma'!$B$7)^('Part VII-Pro Forma'!I14-1)),),IF('Part VII-Pro Forma'!$G$10="Yes",ROUND((-(SUM(I15:I18)*'Part VII-Pro Forma'!$K$10)),),"Choose mgt fee")))</f>
        <v>-36444</v>
      </c>
      <c r="J22" s="22">
        <f>IF(AND('Part VII-Pro Forma'!$G$9="Yes",'Part VII-Pro Forma'!$G$10="Yes"),"Choose One!",IF('Part VII-Pro Forma'!$G$9="Yes",ROUND((-$K$9*(1+'Part VII-Pro Forma'!$B$7)^('Part VII-Pro Forma'!J14-1)),),IF('Part VII-Pro Forma'!$G$10="Yes",ROUND((-(SUM(J15:J18)*'Part VII-Pro Forma'!$K$10)),),"Choose mgt fee")))</f>
        <v>-37537</v>
      </c>
      <c r="K22" s="23">
        <f>IF(AND('Part VII-Pro Forma'!$G$9="Yes",'Part VII-Pro Forma'!$G$10="Yes"),"Choose One!",IF('Part VII-Pro Forma'!$G$9="Yes",ROUND((-$K$9*(1+'Part VII-Pro Forma'!$B$7)^('Part VII-Pro Forma'!K14-1)),),IF('Part VII-Pro Forma'!$G$10="Yes",ROUND((-(SUM(K15:K18)*'Part VII-Pro Forma'!$K$10)),),"Choose mgt fee")))</f>
        <v>-38663</v>
      </c>
      <c r="N22" s="3834"/>
      <c r="O22" s="3836"/>
      <c r="Q22" s="62">
        <v>2</v>
      </c>
      <c r="R22" s="945">
        <f>-SUM(B32:C32)</f>
        <v>73388</v>
      </c>
      <c r="S22" s="945">
        <f>SUM(B33:C33)+R22</f>
        <v>73388.540525238495</v>
      </c>
      <c r="Z22" s="2808" t="s">
        <v>6773</v>
      </c>
      <c r="AA22" s="1788">
        <v>22</v>
      </c>
    </row>
    <row r="23" spans="1:27" ht="13.35" customHeight="1">
      <c r="A23" s="21" t="s">
        <v>1156</v>
      </c>
      <c r="B23" s="22">
        <f>-('Part VI-Revenues &amp; Expenses'!$Q$231)</f>
        <v>-18000</v>
      </c>
      <c r="C23" s="22">
        <f t="shared" ref="C23:K23" si="6">$B$23*(1+$B$8)^(C14-1)</f>
        <v>-18540</v>
      </c>
      <c r="D23" s="22">
        <f t="shared" si="6"/>
        <v>-19096.2</v>
      </c>
      <c r="E23" s="22">
        <f t="shared" si="6"/>
        <v>-19669.085999999999</v>
      </c>
      <c r="F23" s="22">
        <f t="shared" si="6"/>
        <v>-20259.158579999999</v>
      </c>
      <c r="G23" s="22">
        <f t="shared" si="6"/>
        <v>-20866.933337399998</v>
      </c>
      <c r="H23" s="22">
        <f t="shared" si="6"/>
        <v>-21492.941337521999</v>
      </c>
      <c r="I23" s="22">
        <f t="shared" si="6"/>
        <v>-22137.72957764766</v>
      </c>
      <c r="J23" s="22">
        <f t="shared" si="6"/>
        <v>-22801.861464977086</v>
      </c>
      <c r="K23" s="23">
        <f t="shared" si="6"/>
        <v>-23485.9173089264</v>
      </c>
      <c r="N23" s="3834"/>
      <c r="O23" s="3836"/>
      <c r="Q23" s="62">
        <v>3</v>
      </c>
      <c r="R23" s="945">
        <f>-SUM(B32:D32)</f>
        <v>109900</v>
      </c>
      <c r="S23" s="945">
        <f>SUM(B33:D33)+R23</f>
        <v>109901.0382102578</v>
      </c>
      <c r="Z23" s="2808" t="s">
        <v>6773</v>
      </c>
      <c r="AA23" s="1788">
        <v>23</v>
      </c>
    </row>
    <row r="24" spans="1:27" ht="13.35" customHeight="1">
      <c r="A24" s="409" t="s">
        <v>4013</v>
      </c>
      <c r="B24" s="2944">
        <f>IF(B14&lt;=+'Part VI-Revenues &amp; Expenses'!$N$248,-'Part VI-Revenues &amp; Expenses'!$K$248,0)</f>
        <v>0</v>
      </c>
      <c r="C24" s="2944">
        <f>IF(C14&lt;=+'Part VI-Revenues &amp; Expenses'!$N$248,-'Part VI-Revenues &amp; Expenses'!$K$248,0)</f>
        <v>0</v>
      </c>
      <c r="D24" s="2944">
        <f>IF(D14&lt;=+'Part VI-Revenues &amp; Expenses'!$N$248,-'Part VI-Revenues &amp; Expenses'!$K$248,0)</f>
        <v>0</v>
      </c>
      <c r="E24" s="2944">
        <f>IF(E14&lt;=+'Part VI-Revenues &amp; Expenses'!$N$248,-'Part VI-Revenues &amp; Expenses'!$K$248,0)</f>
        <v>0</v>
      </c>
      <c r="F24" s="2944">
        <f>IF(F14&lt;=+'Part VI-Revenues &amp; Expenses'!$N$248,-'Part VI-Revenues &amp; Expenses'!$K$248,0)</f>
        <v>0</v>
      </c>
      <c r="G24" s="2944">
        <f>IF(G14&lt;=+'Part VI-Revenues &amp; Expenses'!$N$248,-'Part VI-Revenues &amp; Expenses'!$K$248,0)</f>
        <v>0</v>
      </c>
      <c r="H24" s="2944">
        <f>IF(H14&lt;=+'Part VI-Revenues &amp; Expenses'!$N$248,-'Part VI-Revenues &amp; Expenses'!$K$248,0)</f>
        <v>0</v>
      </c>
      <c r="I24" s="2944">
        <f>IF(I14&lt;=+'Part VI-Revenues &amp; Expenses'!$N$248,-'Part VI-Revenues &amp; Expenses'!$K$248,0)</f>
        <v>0</v>
      </c>
      <c r="J24" s="2944">
        <f>IF(J14&lt;=+'Part VI-Revenues &amp; Expenses'!$N$248,-'Part VI-Revenues &amp; Expenses'!$K$248,0)</f>
        <v>0</v>
      </c>
      <c r="K24" s="2944">
        <f>IF(K14&lt;=+'Part VI-Revenues &amp; Expenses'!$N$248,-'Part VI-Revenues &amp; Expenses'!$K$248,0)</f>
        <v>0</v>
      </c>
      <c r="N24" s="3834"/>
      <c r="O24" s="3836"/>
      <c r="Q24" s="847">
        <v>4</v>
      </c>
      <c r="R24" s="945">
        <f>-SUM(B32:E32)</f>
        <v>146141</v>
      </c>
      <c r="S24" s="945">
        <f>SUM(B33:E33)+R24</f>
        <v>146141.68558492512</v>
      </c>
      <c r="Z24" s="2808" t="s">
        <v>6773</v>
      </c>
      <c r="AA24" s="1788">
        <v>24</v>
      </c>
    </row>
    <row r="25" spans="1:27" ht="13.35" customHeight="1">
      <c r="A25" s="21" t="s">
        <v>1157</v>
      </c>
      <c r="B25" s="22">
        <f>SUM(B20:B24)</f>
        <v>185184.85599999991</v>
      </c>
      <c r="C25" s="22">
        <f t="shared" ref="C25:J25" si="7">SUM(C20:C24)</f>
        <v>185352.69311999995</v>
      </c>
      <c r="D25" s="22">
        <f t="shared" si="7"/>
        <v>185417.4819824</v>
      </c>
      <c r="E25" s="22">
        <f t="shared" si="7"/>
        <v>185374.78607204801</v>
      </c>
      <c r="F25" s="22">
        <f t="shared" si="7"/>
        <v>185218.992676989</v>
      </c>
      <c r="G25" s="22">
        <f t="shared" si="7"/>
        <v>184943.30674053376</v>
      </c>
      <c r="H25" s="22">
        <f t="shared" si="7"/>
        <v>184543.74451164959</v>
      </c>
      <c r="I25" s="22">
        <f t="shared" si="7"/>
        <v>184012.12698727674</v>
      </c>
      <c r="J25" s="22">
        <f t="shared" si="7"/>
        <v>183344.07313997851</v>
      </c>
      <c r="K25" s="1299">
        <f>SUM(K20:K24)</f>
        <v>182531.9929241229</v>
      </c>
      <c r="N25" s="3834"/>
      <c r="O25" s="3836"/>
      <c r="Q25" s="847">
        <v>5</v>
      </c>
      <c r="R25" s="945">
        <f>-SUM(B32:F32)</f>
        <v>146141</v>
      </c>
      <c r="S25" s="945">
        <f>SUM(B33:F33)+R25</f>
        <v>181990.51053253346</v>
      </c>
      <c r="Z25" s="2808" t="s">
        <v>6773</v>
      </c>
      <c r="AA25" s="1787">
        <v>25</v>
      </c>
    </row>
    <row r="26" spans="1:27" ht="13.35" customHeight="1">
      <c r="A26" s="409" t="s">
        <v>1525</v>
      </c>
      <c r="B26" s="2945">
        <f>IF('Part III-Sources of Funds'!$P$40="", 0,-'Part III-Sources of Funds'!$P$40)</f>
        <v>-141266.50429738068</v>
      </c>
      <c r="C26" s="2945">
        <f>IF('Part III-Sources of Funds'!$P$40="", 0,-'Part III-Sources of Funds'!$P$40)</f>
        <v>-141266.50429738068</v>
      </c>
      <c r="D26" s="2945">
        <f>IF('Part III-Sources of Funds'!$P$40="", 0,-'Part III-Sources of Funds'!$P$40)</f>
        <v>-141266.50429738068</v>
      </c>
      <c r="E26" s="2945">
        <f>IF('Part III-Sources of Funds'!$P$40="", 0,-'Part III-Sources of Funds'!$P$40)</f>
        <v>-141266.50429738068</v>
      </c>
      <c r="F26" s="2945">
        <f>IF('Part III-Sources of Funds'!$P$40="", 0,-'Part III-Sources of Funds'!$P$40)</f>
        <v>-141266.50429738068</v>
      </c>
      <c r="G26" s="2945">
        <f>IF('Part III-Sources of Funds'!$P$40="", 0,-'Part III-Sources of Funds'!$P$40)</f>
        <v>-141266.50429738068</v>
      </c>
      <c r="H26" s="2945">
        <f>IF('Part III-Sources of Funds'!$P$40="", 0,-'Part III-Sources of Funds'!$P$40)</f>
        <v>-141266.50429738068</v>
      </c>
      <c r="I26" s="2945">
        <f>IF('Part III-Sources of Funds'!$P$40="", 0,-'Part III-Sources of Funds'!$P$40)</f>
        <v>-141266.50429738068</v>
      </c>
      <c r="J26" s="2945">
        <f>IF('Part III-Sources of Funds'!$P$40="", 0,-'Part III-Sources of Funds'!$P$40)</f>
        <v>-141266.50429738068</v>
      </c>
      <c r="K26" s="2945">
        <f>IF('Part III-Sources of Funds'!$P$40="", 0,-'Part III-Sources of Funds'!$P$40)</f>
        <v>-141266.50429738068</v>
      </c>
      <c r="N26" s="3834"/>
      <c r="O26" s="3836"/>
      <c r="Q26" s="847">
        <v>6</v>
      </c>
      <c r="R26" s="945">
        <f>-SUM(B32:G32)</f>
        <v>146141</v>
      </c>
      <c r="S26" s="945">
        <f>SUM(B33:G33)+R26</f>
        <v>217320.53964072652</v>
      </c>
      <c r="Z26" s="2808" t="s">
        <v>6773</v>
      </c>
      <c r="AA26" s="1788">
        <v>26</v>
      </c>
    </row>
    <row r="27" spans="1:27" ht="13.35" customHeight="1">
      <c r="A27" s="409" t="s">
        <v>1526</v>
      </c>
      <c r="B27" s="2946">
        <f>IF('Part III-Sources of Funds'!$P$41="", 0,-'Part III-Sources of Funds'!$P$41)</f>
        <v>0</v>
      </c>
      <c r="C27" s="2946">
        <f>IF('Part III-Sources of Funds'!$P$41="", 0,-'Part III-Sources of Funds'!$P$41)</f>
        <v>0</v>
      </c>
      <c r="D27" s="2946">
        <f>IF('Part III-Sources of Funds'!$P$41="", 0,-'Part III-Sources of Funds'!$P$41)</f>
        <v>0</v>
      </c>
      <c r="E27" s="2946">
        <f>IF('Part III-Sources of Funds'!$P$41="", 0,-'Part III-Sources of Funds'!$P$41)</f>
        <v>0</v>
      </c>
      <c r="F27" s="2946">
        <f>IF('Part III-Sources of Funds'!$P$41="", 0,-'Part III-Sources of Funds'!$P$41)</f>
        <v>0</v>
      </c>
      <c r="G27" s="2946">
        <f>IF('Part III-Sources of Funds'!$P$41="", 0,-'Part III-Sources of Funds'!$P$41)</f>
        <v>0</v>
      </c>
      <c r="H27" s="2946">
        <f>IF('Part III-Sources of Funds'!$P$41="", 0,-'Part III-Sources of Funds'!$P$41)</f>
        <v>0</v>
      </c>
      <c r="I27" s="2946">
        <f>IF('Part III-Sources of Funds'!$P$41="", 0,-'Part III-Sources of Funds'!$P$41)</f>
        <v>0</v>
      </c>
      <c r="J27" s="2946">
        <f>IF('Part III-Sources of Funds'!$P$41="", 0,-'Part III-Sources of Funds'!$P$41)</f>
        <v>0</v>
      </c>
      <c r="K27" s="2946">
        <f>IF('Part III-Sources of Funds'!$P$41="", 0,-'Part III-Sources of Funds'!$P$41)</f>
        <v>0</v>
      </c>
      <c r="N27" s="3834"/>
      <c r="O27" s="3836"/>
      <c r="Q27" s="847">
        <v>7</v>
      </c>
      <c r="R27" s="945">
        <f>-SUM(B32:H32)</f>
        <v>146141</v>
      </c>
      <c r="S27" s="945">
        <f>SUM(B33:H33)+R27</f>
        <v>252000.60331998664</v>
      </c>
      <c r="Z27" s="2808" t="s">
        <v>6773</v>
      </c>
      <c r="AA27" s="1788">
        <v>27</v>
      </c>
    </row>
    <row r="28" spans="1:27" ht="13.35" customHeight="1">
      <c r="A28" s="409" t="s">
        <v>1527</v>
      </c>
      <c r="B28" s="2946">
        <f>IF('Part III-Sources of Funds'!$P$42="", 0,-'Part III-Sources of Funds'!$P$42)</f>
        <v>0</v>
      </c>
      <c r="C28" s="2946">
        <f>IF('Part III-Sources of Funds'!$P$42="", 0,-'Part III-Sources of Funds'!$P$42)</f>
        <v>0</v>
      </c>
      <c r="D28" s="2946">
        <f>IF('Part III-Sources of Funds'!$P$42="", 0,-'Part III-Sources of Funds'!$P$42)</f>
        <v>0</v>
      </c>
      <c r="E28" s="2946">
        <f>IF('Part III-Sources of Funds'!$P$42="", 0,-'Part III-Sources of Funds'!$P$42)</f>
        <v>0</v>
      </c>
      <c r="F28" s="2946">
        <f>IF('Part III-Sources of Funds'!$P$42="", 0,-'Part III-Sources of Funds'!$P$42)</f>
        <v>0</v>
      </c>
      <c r="G28" s="2946">
        <f>IF('Part III-Sources of Funds'!$P$42="", 0,-'Part III-Sources of Funds'!$P$42)</f>
        <v>0</v>
      </c>
      <c r="H28" s="2946">
        <f>IF('Part III-Sources of Funds'!$P$42="", 0,-'Part III-Sources of Funds'!$P$42)</f>
        <v>0</v>
      </c>
      <c r="I28" s="2946">
        <f>IF('Part III-Sources of Funds'!$P$42="", 0,-'Part III-Sources of Funds'!$P$42)</f>
        <v>0</v>
      </c>
      <c r="J28" s="2946">
        <f>IF('Part III-Sources of Funds'!$P$42="", 0,-'Part III-Sources of Funds'!$P$42)</f>
        <v>0</v>
      </c>
      <c r="K28" s="2946">
        <f>IF('Part III-Sources of Funds'!$P$42="", 0,-'Part III-Sources of Funds'!$P$42)</f>
        <v>0</v>
      </c>
      <c r="N28" s="3834"/>
      <c r="O28" s="3836"/>
      <c r="Q28" s="847">
        <v>8</v>
      </c>
      <c r="R28" s="945">
        <f>-SUM(B32:I32)</f>
        <v>146141</v>
      </c>
      <c r="S28" s="945">
        <f>SUM(B33:I33)+R28</f>
        <v>285891.13417882362</v>
      </c>
      <c r="Z28" s="2808" t="s">
        <v>6773</v>
      </c>
      <c r="AA28" s="1788">
        <v>28</v>
      </c>
    </row>
    <row r="29" spans="1:27" ht="13.35" customHeight="1">
      <c r="A29" s="409" t="s">
        <v>3420</v>
      </c>
      <c r="B29" s="2946">
        <f>IF('Part III-Sources of Funds'!$P$43="", 0,-'Part III-Sources of Funds'!$P$43)</f>
        <v>0</v>
      </c>
      <c r="C29" s="2946">
        <f>IF('Part III-Sources of Funds'!$P$43="", 0,-'Part III-Sources of Funds'!$P$43)</f>
        <v>0</v>
      </c>
      <c r="D29" s="2946">
        <f>IF('Part III-Sources of Funds'!$P$43="", 0,-'Part III-Sources of Funds'!$P$43)</f>
        <v>0</v>
      </c>
      <c r="E29" s="2946">
        <f>IF('Part III-Sources of Funds'!$P$43="", 0,-'Part III-Sources of Funds'!$P$43)</f>
        <v>0</v>
      </c>
      <c r="F29" s="2946">
        <f>IF('Part III-Sources of Funds'!$P$43="", 0,-'Part III-Sources of Funds'!$P$43)</f>
        <v>0</v>
      </c>
      <c r="G29" s="2946">
        <f>IF('Part III-Sources of Funds'!$P$43="", 0,-'Part III-Sources of Funds'!$P$43)</f>
        <v>0</v>
      </c>
      <c r="H29" s="2946">
        <f>IF('Part III-Sources of Funds'!$P$43="", 0,-'Part III-Sources of Funds'!$P$43)</f>
        <v>0</v>
      </c>
      <c r="I29" s="2946">
        <f>IF('Part III-Sources of Funds'!$P$43="", 0,-'Part III-Sources of Funds'!$P$43)</f>
        <v>0</v>
      </c>
      <c r="J29" s="2946">
        <f>IF('Part III-Sources of Funds'!$P$43="", 0,-'Part III-Sources of Funds'!$P$43)</f>
        <v>0</v>
      </c>
      <c r="K29" s="2946">
        <f>IF('Part III-Sources of Funds'!$P$43="", 0,-'Part III-Sources of Funds'!$P$43)</f>
        <v>0</v>
      </c>
      <c r="N29" s="3834"/>
      <c r="O29" s="3836"/>
      <c r="Q29" s="847">
        <v>9</v>
      </c>
      <c r="R29" s="945">
        <f>-SUM(B32:J32)</f>
        <v>146141</v>
      </c>
      <c r="S29" s="945">
        <f>SUM(B33:J33)+R29</f>
        <v>318847.9584354306</v>
      </c>
      <c r="Z29" s="2808" t="s">
        <v>6773</v>
      </c>
      <c r="AA29" s="1788">
        <v>29</v>
      </c>
    </row>
    <row r="30" spans="1:27" ht="13.35" customHeight="1">
      <c r="A30" s="21" t="s">
        <v>733</v>
      </c>
      <c r="B30" s="2947"/>
      <c r="C30" s="2947"/>
      <c r="D30" s="2947"/>
      <c r="E30" s="2947"/>
      <c r="F30" s="2947"/>
      <c r="G30" s="2947"/>
      <c r="H30" s="2947"/>
      <c r="I30" s="2947"/>
      <c r="J30" s="2947"/>
      <c r="K30" s="2947"/>
      <c r="N30" s="3834"/>
      <c r="O30" s="3836"/>
      <c r="Q30" s="847">
        <v>10</v>
      </c>
      <c r="R30" s="945">
        <f>-SUM(B32:K32)</f>
        <v>146141</v>
      </c>
      <c r="S30" s="945">
        <f>SUM(B33:K33)+R30</f>
        <v>350719.08013860224</v>
      </c>
      <c r="Z30" s="2808" t="s">
        <v>6773</v>
      </c>
      <c r="AA30" s="1788">
        <v>30</v>
      </c>
    </row>
    <row r="31" spans="1:27" ht="13.35" customHeight="1">
      <c r="A31" s="409" t="s">
        <v>1121</v>
      </c>
      <c r="B31" s="2948">
        <f>-$G$6</f>
        <v>-7200</v>
      </c>
      <c r="C31" s="2948">
        <f>B31*1.03</f>
        <v>-7416</v>
      </c>
      <c r="D31" s="2948">
        <f>C31*1.03</f>
        <v>-7638.4800000000005</v>
      </c>
      <c r="E31" s="2948">
        <f t="shared" ref="E31:K31" si="8">D31*1.03</f>
        <v>-7867.6344000000008</v>
      </c>
      <c r="F31" s="2948">
        <f t="shared" si="8"/>
        <v>-8103.6634320000012</v>
      </c>
      <c r="G31" s="2948">
        <f t="shared" si="8"/>
        <v>-8346.7733349600021</v>
      </c>
      <c r="H31" s="2948">
        <f t="shared" si="8"/>
        <v>-8597.1765350088026</v>
      </c>
      <c r="I31" s="2948">
        <f t="shared" si="8"/>
        <v>-8855.0918310590678</v>
      </c>
      <c r="J31" s="2948">
        <f t="shared" si="8"/>
        <v>-9120.7445859908403</v>
      </c>
      <c r="K31" s="2948">
        <f t="shared" si="8"/>
        <v>-9394.3669235705656</v>
      </c>
      <c r="N31" s="3834"/>
      <c r="O31" s="3836"/>
      <c r="Q31" s="847">
        <v>11</v>
      </c>
      <c r="R31" s="945">
        <f>-SUM(B32:K32)-B64</f>
        <v>146141</v>
      </c>
      <c r="S31" s="945">
        <f>SUM(B33:K33)+B65+R31</f>
        <v>381345.45796353434</v>
      </c>
      <c r="Z31" s="2808" t="s">
        <v>6773</v>
      </c>
      <c r="AA31" s="1788">
        <v>31</v>
      </c>
    </row>
    <row r="32" spans="1:27" ht="13.35" customHeight="1">
      <c r="A32" s="409" t="s">
        <v>3509</v>
      </c>
      <c r="B32" s="2949">
        <v>-36718</v>
      </c>
      <c r="C32" s="2949">
        <v>-36670</v>
      </c>
      <c r="D32" s="2949">
        <v>-36512</v>
      </c>
      <c r="E32" s="2949">
        <v>-36241</v>
      </c>
      <c r="F32" s="2949"/>
      <c r="G32" s="2949"/>
      <c r="H32" s="2949"/>
      <c r="I32" s="2949"/>
      <c r="J32" s="2949"/>
      <c r="K32" s="2949"/>
      <c r="N32" s="3834"/>
      <c r="O32" s="3836"/>
      <c r="Q32" s="847">
        <v>12</v>
      </c>
      <c r="R32" s="945">
        <f>-SUM(B32:K32) - SUM(B64:C64)</f>
        <v>146141</v>
      </c>
      <c r="S32" s="945">
        <f>SUM(B33:K33) + SUM(B65:C65)+R32</f>
        <v>410560.77434071462</v>
      </c>
      <c r="Z32" s="2808" t="s">
        <v>6773</v>
      </c>
      <c r="AA32" s="1788">
        <v>32</v>
      </c>
    </row>
    <row r="33" spans="1:27" ht="13.35" customHeight="1">
      <c r="A33" s="21" t="s">
        <v>1122</v>
      </c>
      <c r="B33" s="22">
        <f t="shared" ref="B33:K33" si="9">SUM(B25:B32)</f>
        <v>0.35170261922758073</v>
      </c>
      <c r="C33" s="22">
        <f t="shared" si="9"/>
        <v>0.18882261926773936</v>
      </c>
      <c r="D33" s="22">
        <f t="shared" si="9"/>
        <v>0.49768501931248466</v>
      </c>
      <c r="E33" s="22">
        <f t="shared" si="9"/>
        <v>-0.35262533267814433</v>
      </c>
      <c r="F33" s="22">
        <f t="shared" si="9"/>
        <v>35848.824947608315</v>
      </c>
      <c r="G33" s="22">
        <f t="shared" si="9"/>
        <v>35330.029108193077</v>
      </c>
      <c r="H33" s="22">
        <f t="shared" si="9"/>
        <v>34680.063679260107</v>
      </c>
      <c r="I33" s="22">
        <f t="shared" si="9"/>
        <v>33890.530858836995</v>
      </c>
      <c r="J33" s="22">
        <f t="shared" si="9"/>
        <v>32956.824256606989</v>
      </c>
      <c r="K33" s="23">
        <f t="shared" si="9"/>
        <v>31871.121703171644</v>
      </c>
      <c r="N33" s="3834"/>
      <c r="O33" s="3836"/>
      <c r="Q33" s="847">
        <v>13</v>
      </c>
      <c r="R33" s="945">
        <f>-SUM(B32:K32) - SUM(B64:D64)</f>
        <v>146141</v>
      </c>
      <c r="S33" s="945">
        <f>SUM(B33:K33) + SUM(B65:D65)+R33</f>
        <v>438192.19666848233</v>
      </c>
      <c r="Z33" s="2808" t="s">
        <v>6773</v>
      </c>
      <c r="AA33" s="1788">
        <v>33</v>
      </c>
    </row>
    <row r="34" spans="1:27" ht="13.35" customHeight="1">
      <c r="A34" s="21" t="str">
        <f>IF('Part III-Sources of Funds'!$E$40 = "Neither", "", "DCR Mortgage A")</f>
        <v>DCR Mortgage A</v>
      </c>
      <c r="B34" s="24">
        <f t="shared" ref="B34:K34" si="10">IF(B26=0,"",-B25/B26)</f>
        <v>1.3108900579161111</v>
      </c>
      <c r="C34" s="24">
        <f t="shared" si="10"/>
        <v>1.3120781464926268</v>
      </c>
      <c r="D34" s="24">
        <f t="shared" si="10"/>
        <v>1.3125367751160382</v>
      </c>
      <c r="E34" s="24">
        <f t="shared" si="10"/>
        <v>1.3122345384990544</v>
      </c>
      <c r="F34" s="24">
        <f t="shared" si="10"/>
        <v>1.3111317052702298</v>
      </c>
      <c r="G34" s="24">
        <f t="shared" si="10"/>
        <v>1.3091801744538738</v>
      </c>
      <c r="H34" s="24">
        <f t="shared" si="10"/>
        <v>1.3063517457978986</v>
      </c>
      <c r="I34" s="24">
        <f t="shared" si="10"/>
        <v>1.3025885216208939</v>
      </c>
      <c r="J34" s="24">
        <f t="shared" si="10"/>
        <v>1.2978594894230566</v>
      </c>
      <c r="K34" s="25">
        <f t="shared" si="10"/>
        <v>1.2921109206459449</v>
      </c>
      <c r="N34" s="3834"/>
      <c r="O34" s="3836"/>
      <c r="Q34" s="847">
        <v>14</v>
      </c>
      <c r="R34" s="945">
        <f>-SUM(B32:K32) - SUM(B64:E64)</f>
        <v>146141</v>
      </c>
      <c r="S34" s="945">
        <f>SUM(B33:K33) + SUM(B65:E65)+R34</f>
        <v>464057.13035196182</v>
      </c>
      <c r="Z34" s="2808"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4"/>
      <c r="O35" s="3836"/>
      <c r="Q35" s="847">
        <v>15</v>
      </c>
      <c r="R35" s="945">
        <f>-SUM(B32:K32) - SUM(B64:F64)</f>
        <v>146141</v>
      </c>
      <c r="S35" s="945">
        <f>SUM(B33:K33) + SUM(B65:F65)+R35</f>
        <v>487966.96340296359</v>
      </c>
      <c r="Z35" s="2808"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4"/>
      <c r="O36" s="3836"/>
      <c r="Q36" s="62">
        <v>16</v>
      </c>
      <c r="R36" s="945">
        <f>-SUM(B32:K32) - SUM(B64:G64)</f>
        <v>146141</v>
      </c>
      <c r="S36" s="945">
        <f>SUM(B33:K33) + SUM(B65:G65)+R36</f>
        <v>509722.80232707516</v>
      </c>
      <c r="Z36" s="2808"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4"/>
      <c r="O37" s="3836"/>
      <c r="Q37" s="62">
        <v>17</v>
      </c>
      <c r="R37" s="945">
        <f>-SUM(B32:K32) - SUM(B64:H64)</f>
        <v>146141</v>
      </c>
      <c r="S37" s="945">
        <f>SUM(B33:K33) + SUM(B65:H65)+R37</f>
        <v>529118.19901554333</v>
      </c>
      <c r="Z37" s="2808" t="s">
        <v>6773</v>
      </c>
      <c r="AA37" s="1788">
        <v>37</v>
      </c>
    </row>
    <row r="38" spans="1:27" ht="13.35" customHeight="1">
      <c r="A38" s="409" t="s">
        <v>3343</v>
      </c>
      <c r="B38" s="24">
        <f t="shared" ref="B38:K38" si="14">IF(AND(B26=0,B27=0,B28=0,B29=0),"",-B25/(B26+B27+B28+B29))</f>
        <v>1.3108900579161111</v>
      </c>
      <c r="C38" s="24">
        <f t="shared" si="14"/>
        <v>1.3120781464926268</v>
      </c>
      <c r="D38" s="24">
        <f t="shared" si="14"/>
        <v>1.3125367751160382</v>
      </c>
      <c r="E38" s="24">
        <f t="shared" si="14"/>
        <v>1.3122345384990544</v>
      </c>
      <c r="F38" s="24">
        <f t="shared" si="14"/>
        <v>1.3111317052702298</v>
      </c>
      <c r="G38" s="24">
        <f t="shared" si="14"/>
        <v>1.3091801744538738</v>
      </c>
      <c r="H38" s="24">
        <f t="shared" si="14"/>
        <v>1.3063517457978986</v>
      </c>
      <c r="I38" s="24">
        <f t="shared" si="14"/>
        <v>1.3025885216208939</v>
      </c>
      <c r="J38" s="24">
        <f t="shared" si="14"/>
        <v>1.2978594894230566</v>
      </c>
      <c r="K38" s="25">
        <f t="shared" si="14"/>
        <v>1.2921109206459449</v>
      </c>
      <c r="N38" s="3834"/>
      <c r="O38" s="3836"/>
      <c r="Q38" s="62">
        <v>18</v>
      </c>
      <c r="R38" s="945">
        <f>-SUM(B32:K32) - SUM(B64:I64)</f>
        <v>146141</v>
      </c>
      <c r="S38" s="945">
        <f>SUM(B33:K33) + SUM(B65:I65)+R38</f>
        <v>545937.86835065298</v>
      </c>
      <c r="Z38" s="2808" t="s">
        <v>6773</v>
      </c>
      <c r="AA38" s="1788">
        <v>38</v>
      </c>
    </row>
    <row r="39" spans="1:27" ht="13.35" customHeight="1">
      <c r="A39" s="21" t="s">
        <v>740</v>
      </c>
      <c r="B39" s="263">
        <f t="shared" ref="B39:K39" si="15">IF(OR(B22="Choose mgt fee",B22="Choose One!"),"",(B15+B16+B17+B18+B19) / -(B21+B22+B23))</f>
        <v>1.5237394890011366</v>
      </c>
      <c r="C39" s="263">
        <f t="shared" si="15"/>
        <v>1.5089457359973308</v>
      </c>
      <c r="D39" s="263">
        <f t="shared" si="15"/>
        <v>1.4942943034777643</v>
      </c>
      <c r="E39" s="263">
        <f t="shared" si="15"/>
        <v>1.4797870130917092</v>
      </c>
      <c r="F39" s="263">
        <f t="shared" si="15"/>
        <v>1.4654216218205964</v>
      </c>
      <c r="G39" s="263">
        <f t="shared" si="15"/>
        <v>1.4511925634593044</v>
      </c>
      <c r="H39" s="263">
        <f t="shared" si="15"/>
        <v>1.4371052214450049</v>
      </c>
      <c r="I39" s="263">
        <f t="shared" si="15"/>
        <v>1.4231509763324188</v>
      </c>
      <c r="J39" s="263">
        <f t="shared" si="15"/>
        <v>1.4093349834379669</v>
      </c>
      <c r="K39" s="264">
        <f t="shared" si="15"/>
        <v>1.3956524522915257</v>
      </c>
      <c r="N39" s="3834"/>
      <c r="O39" s="3836"/>
      <c r="Q39" s="847">
        <v>19</v>
      </c>
      <c r="R39" s="945">
        <f>-SUM(B32:K32) - SUM(B64:J64)</f>
        <v>146141</v>
      </c>
      <c r="S39" s="945">
        <f>SUM(B33:K33) + SUM(B65:J65)+R39</f>
        <v>559956.39622414438</v>
      </c>
      <c r="Z39" s="2808" t="s">
        <v>6773</v>
      </c>
      <c r="AA39" s="1788">
        <v>39</v>
      </c>
    </row>
    <row r="40" spans="1:27" ht="13.35" customHeight="1">
      <c r="A40" s="409" t="s">
        <v>2493</v>
      </c>
      <c r="B40" s="2950">
        <f>IF('Part III-Sources of Funds'!$I$40="","",-FV('Part III-Sources of Funds'!$K$40/12,12,B26/12,'Part III-Sources of Funds'!$I$40))</f>
        <v>2265059.1923129624</v>
      </c>
      <c r="C40" s="2950">
        <f>IF('Part III-Sources of Funds'!$I$40="","",-FV('Part III-Sources of Funds'!$K$40/12,12,C26/12,B40))</f>
        <v>2239853.8043891368</v>
      </c>
      <c r="D40" s="2950">
        <f>IF('Part III-Sources of Funds'!$I$40="","",-FV('Part III-Sources of Funds'!$K$40/12,12,D26/12,C40))</f>
        <v>2213319.2563655786</v>
      </c>
      <c r="E40" s="2950">
        <f>IF('Part III-Sources of Funds'!$I$40="","",-FV('Part III-Sources of Funds'!$K$40/12,12,E26/12,D40))</f>
        <v>2185385.4574118638</v>
      </c>
      <c r="F40" s="2950">
        <f>IF('Part III-Sources of Funds'!$I$40="","",-FV('Part III-Sources of Funds'!$K$40/12,12,F26/12,E40))</f>
        <v>2155978.6205856339</v>
      </c>
      <c r="G40" s="2950">
        <f>IF('Part III-Sources of Funds'!$I$40="","",-FV('Part III-Sources of Funds'!$K$40/12,12,G26/12,F40))</f>
        <v>2125021.0679248804</v>
      </c>
      <c r="H40" s="2950">
        <f>IF('Part III-Sources of Funds'!$I$40="","",-FV('Part III-Sources of Funds'!$K$40/12,12,H26/12,G40))</f>
        <v>2092431.0252621321</v>
      </c>
      <c r="I40" s="2950">
        <f>IF('Part III-Sources of Funds'!$I$40="","",-FV('Part III-Sources of Funds'!$K$40/12,12,I26/12,H40))</f>
        <v>2058122.4062185388</v>
      </c>
      <c r="J40" s="2950">
        <f>IF('Part III-Sources of Funds'!$I$40="","",-FV('Part III-Sources of Funds'!$K$40/12,12,J26/12,I40))</f>
        <v>2022004.5848072811</v>
      </c>
      <c r="K40" s="2950">
        <f>IF('Part III-Sources of Funds'!$I$40="","",-FV('Part III-Sources of Funds'!$K$40/12,12,K26/12,J40))</f>
        <v>1983982.1560456345</v>
      </c>
      <c r="N40" s="3834"/>
      <c r="O40" s="3836"/>
      <c r="Q40" s="847">
        <v>20</v>
      </c>
      <c r="R40" s="945">
        <f>-SUM(B32:K32) - SUM(B64:K64)</f>
        <v>146141</v>
      </c>
      <c r="S40" s="945">
        <f>SUM(B33:K33) + SUM(B65:K65)+R40</f>
        <v>570937.93765875732</v>
      </c>
      <c r="Z40" s="2808" t="s">
        <v>6773</v>
      </c>
      <c r="AA40" s="1788">
        <v>40</v>
      </c>
    </row>
    <row r="41" spans="1:27" ht="13.35" customHeight="1">
      <c r="A41" s="409" t="s">
        <v>2494</v>
      </c>
      <c r="B41" s="2946" t="str">
        <f>IF('Part III-Sources of Funds'!$I$41="","",-FV('Part III-Sources of Funds'!$K$41/12,12,B27/12,'Part III-Sources of Funds'!$I$41))</f>
        <v/>
      </c>
      <c r="C41" s="2946" t="str">
        <f>IF('Part III-Sources of Funds'!$I$41="","",-FV('Part III-Sources of Funds'!$K$41/12,12,C27/12,B41))</f>
        <v/>
      </c>
      <c r="D41" s="2946" t="str">
        <f>IF('Part III-Sources of Funds'!$I$41="","",-FV('Part III-Sources of Funds'!$K$41/12,12,D27/12,C41))</f>
        <v/>
      </c>
      <c r="E41" s="2946" t="str">
        <f>IF('Part III-Sources of Funds'!$I$41="","",-FV('Part III-Sources of Funds'!$K$41/12,12,E27/12,D41))</f>
        <v/>
      </c>
      <c r="F41" s="2946" t="str">
        <f>IF('Part III-Sources of Funds'!$I$41="","",-FV('Part III-Sources of Funds'!$K$41/12,12,F27/12,E41))</f>
        <v/>
      </c>
      <c r="G41" s="2946" t="str">
        <f>IF('Part III-Sources of Funds'!$I$41="","",-FV('Part III-Sources of Funds'!$K$41/12,12,G27/12,F41))</f>
        <v/>
      </c>
      <c r="H41" s="2946" t="str">
        <f>IF('Part III-Sources of Funds'!$I$41="","",-FV('Part III-Sources of Funds'!$K$41/12,12,H27/12,G41))</f>
        <v/>
      </c>
      <c r="I41" s="2946" t="str">
        <f>IF('Part III-Sources of Funds'!$I$41="","",-FV('Part III-Sources of Funds'!$K$41/12,12,I27/12,H41))</f>
        <v/>
      </c>
      <c r="J41" s="2946" t="str">
        <f>IF('Part III-Sources of Funds'!$I$41="","",-FV('Part III-Sources of Funds'!$K$41/12,12,J27/12,I41))</f>
        <v/>
      </c>
      <c r="K41" s="2946" t="str">
        <f>IF('Part III-Sources of Funds'!$I$41="","",-FV('Part III-Sources of Funds'!$K$41/12,12,K27/12,J41))</f>
        <v/>
      </c>
      <c r="N41" s="3834"/>
      <c r="O41" s="3836"/>
      <c r="Z41" s="2808" t="s">
        <v>6773</v>
      </c>
      <c r="AA41" s="1788">
        <v>41</v>
      </c>
    </row>
    <row r="42" spans="1:27" ht="13.35" customHeight="1">
      <c r="A42" s="409" t="s">
        <v>2495</v>
      </c>
      <c r="B42" s="2946" t="str">
        <f>IF('Part III-Sources of Funds'!$I$42="","",-FV('Part III-Sources of Funds'!$K$42/12,12,B28/12,'Part III-Sources of Funds'!$I$42))</f>
        <v/>
      </c>
      <c r="C42" s="2946" t="str">
        <f>IF('Part III-Sources of Funds'!$I$42="","",-FV('Part III-Sources of Funds'!$K$42/12,12,C28/12,B42))</f>
        <v/>
      </c>
      <c r="D42" s="2946" t="str">
        <f>IF('Part III-Sources of Funds'!$I$42="","",-FV('Part III-Sources of Funds'!$K$42/12,12,D28/12,C42))</f>
        <v/>
      </c>
      <c r="E42" s="2946" t="str">
        <f>IF('Part III-Sources of Funds'!$I$42="","",-FV('Part III-Sources of Funds'!$K$42/12,12,E28/12,D42))</f>
        <v/>
      </c>
      <c r="F42" s="2946" t="str">
        <f>IF('Part III-Sources of Funds'!$I$42="","",-FV('Part III-Sources of Funds'!$K$42/12,12,F28/12,E42))</f>
        <v/>
      </c>
      <c r="G42" s="2946" t="str">
        <f>IF('Part III-Sources of Funds'!$I$42="","",-FV('Part III-Sources of Funds'!$K$42/12,12,G28/12,F42))</f>
        <v/>
      </c>
      <c r="H42" s="2946" t="str">
        <f>IF('Part III-Sources of Funds'!$I$42="","",-FV('Part III-Sources of Funds'!$K$42/12,12,H28/12,G42))</f>
        <v/>
      </c>
      <c r="I42" s="2946" t="str">
        <f>IF('Part III-Sources of Funds'!$I$42="","",-FV('Part III-Sources of Funds'!$K$42/12,12,I28/12,H42))</f>
        <v/>
      </c>
      <c r="J42" s="2946" t="str">
        <f>IF('Part III-Sources of Funds'!$I$42="","",-FV('Part III-Sources of Funds'!$K$42/12,12,J28/12,I42))</f>
        <v/>
      </c>
      <c r="K42" s="2946" t="str">
        <f>IF('Part III-Sources of Funds'!$I$42="","",-FV('Part III-Sources of Funds'!$K$42/12,12,K28/12,J42))</f>
        <v/>
      </c>
      <c r="N42" s="3834"/>
      <c r="O42" s="3836"/>
      <c r="Z42" s="2808" t="s">
        <v>6773</v>
      </c>
      <c r="AA42" s="1788">
        <v>42</v>
      </c>
    </row>
    <row r="43" spans="1:27" ht="13.35" customHeight="1">
      <c r="A43" s="21" t="s">
        <v>752</v>
      </c>
      <c r="B43" s="2946" t="str">
        <f>IF('Part III-Sources of Funds'!$I$43="","",-FV('Part III-Sources of Funds'!$K$43/12,12,B29/12,'Part III-Sources of Funds'!$I$43))</f>
        <v/>
      </c>
      <c r="C43" s="2946" t="str">
        <f>IF('Part III-Sources of Funds'!$I$43="","",-FV('Part III-Sources of Funds'!$K$43/12,12,C29/12,B43))</f>
        <v/>
      </c>
      <c r="D43" s="2946" t="str">
        <f>IF('Part III-Sources of Funds'!$I$43="","",-FV('Part III-Sources of Funds'!$K$43/12,12,D29/12,C43))</f>
        <v/>
      </c>
      <c r="E43" s="2946" t="str">
        <f>IF('Part III-Sources of Funds'!$I$43="","",-FV('Part III-Sources of Funds'!$K$43/12,12,E29/12,D43))</f>
        <v/>
      </c>
      <c r="F43" s="2946" t="str">
        <f>IF('Part III-Sources of Funds'!$I$43="","",-FV('Part III-Sources of Funds'!$K$43/12,12,F29/12,E43))</f>
        <v/>
      </c>
      <c r="G43" s="2946" t="str">
        <f>IF('Part III-Sources of Funds'!$I$43="","",-FV('Part III-Sources of Funds'!$K$43/12,12,G29/12,F43))</f>
        <v/>
      </c>
      <c r="H43" s="2946" t="str">
        <f>IF('Part III-Sources of Funds'!$I$43="","",-FV('Part III-Sources of Funds'!$K$43/12,12,H29/12,G43))</f>
        <v/>
      </c>
      <c r="I43" s="2946" t="str">
        <f>IF('Part III-Sources of Funds'!$I$43="","",-FV('Part III-Sources of Funds'!$K$43/12,12,I29/12,H43))</f>
        <v/>
      </c>
      <c r="J43" s="2946" t="str">
        <f>IF('Part III-Sources of Funds'!$I$43="","",-FV('Part III-Sources of Funds'!$K$43/12,12,J29/12,I43))</f>
        <v/>
      </c>
      <c r="K43" s="2946" t="str">
        <f>IF('Part III-Sources of Funds'!$I$43="","",-FV('Part III-Sources of Funds'!$K$43/12,12,K29/12,J43))</f>
        <v/>
      </c>
      <c r="N43" s="3834"/>
      <c r="O43" s="3836"/>
      <c r="Z43" s="2808" t="s">
        <v>6773</v>
      </c>
      <c r="AA43" s="1787">
        <v>43</v>
      </c>
    </row>
    <row r="44" spans="1:27" ht="13.35" customHeight="1">
      <c r="A44" s="409" t="s">
        <v>3510</v>
      </c>
      <c r="B44" s="2949">
        <f>IF('Part III-Sources of Funds'!$I$45="","",-FV('Part III-Sources of Funds'!$K$45/12,12,B32/12,'Part III-Sources of Funds'!$I$45))</f>
        <v>106900</v>
      </c>
      <c r="C44" s="2949">
        <f>IF('Part III-Sources of Funds'!$I$45="","",IF(-FV('Part III-Sources of Funds'!$K$45/12,12,C32/12,B44)&gt;0,-FV('Part III-Sources of Funds'!$K$45/12,12,C32/12,B44),0))</f>
        <v>70230</v>
      </c>
      <c r="D44" s="2949">
        <f>IF('Part III-Sources of Funds'!$I$45="","",IF(-FV('Part III-Sources of Funds'!$K$45/12,12,D32/12,C44)&gt;0,-FV('Part III-Sources of Funds'!$K$45/12,12,D32/12,C44),0))</f>
        <v>33718</v>
      </c>
      <c r="E44" s="2949">
        <f>IF('Part III-Sources of Funds'!$I$45="","",IF(-FV('Part III-Sources of Funds'!$K$45/12,12,E32/12,D44)&gt;0,-FV('Part III-Sources of Funds'!$K$45/12,12,E32/12,D44),0))</f>
        <v>0</v>
      </c>
      <c r="F44" s="2949">
        <f>IF('Part III-Sources of Funds'!$I$45="","",IF(-FV('Part III-Sources of Funds'!$K$45/12,12,F32/12,E44)&gt;0,-FV('Part III-Sources of Funds'!$K$45/12,12,F32/12,E44),0))</f>
        <v>0</v>
      </c>
      <c r="G44" s="2949">
        <f>IF('Part III-Sources of Funds'!$I$45="","",IF(-FV('Part III-Sources of Funds'!$K$45/12,12,G32/12,F44)&gt;0,-FV('Part III-Sources of Funds'!$K$45/12,12,G32/12,F44),0))</f>
        <v>0</v>
      </c>
      <c r="H44" s="2949">
        <f>IF('Part III-Sources of Funds'!$I$45="","",IF(-FV('Part III-Sources of Funds'!$K$45/12,12,H32/12,G44)&gt;0,-FV('Part III-Sources of Funds'!$K$45/12,12,H32/12,G44),0))</f>
        <v>0</v>
      </c>
      <c r="I44" s="2949">
        <f>IF('Part III-Sources of Funds'!$I$45="","",IF(-FV('Part III-Sources of Funds'!$K$45/12,12,I32/12,H44)&gt;0,-FV('Part III-Sources of Funds'!$K$45/12,12,I32/12,H44),0))</f>
        <v>0</v>
      </c>
      <c r="J44" s="2949">
        <f>IF('Part III-Sources of Funds'!$I$45="","",IF(-FV('Part III-Sources of Funds'!$K$45/12,12,J32/12,I44)&gt;0,-FV('Part III-Sources of Funds'!$K$45/12,12,J32/12,I44),0))</f>
        <v>0</v>
      </c>
      <c r="K44" s="2949">
        <f>IF('Part III-Sources of Funds'!$I$45="","",IF(-FV('Part III-Sources of Funds'!$K$45/12,12,K32/12,J44)&gt;0,-FV('Part III-Sources of Funds'!$K$45/12,12,K32/12,J44),0))</f>
        <v>0</v>
      </c>
      <c r="N44" s="3840"/>
      <c r="O44" s="3842"/>
      <c r="Z44" s="2808"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9" t="s">
        <v>2497</v>
      </c>
      <c r="O46" s="3529"/>
      <c r="AA46" s="1788">
        <v>46</v>
      </c>
    </row>
    <row r="47" spans="1:27" ht="13.35" customHeight="1">
      <c r="A47" s="18" t="s">
        <v>2294</v>
      </c>
      <c r="B47" s="19">
        <f t="shared" ref="B47:K47" si="17">$B$15*(1+$B$6)^(B46-1)</f>
        <v>692340.07078022219</v>
      </c>
      <c r="C47" s="19">
        <f t="shared" si="17"/>
        <v>706186.87219582661</v>
      </c>
      <c r="D47" s="19">
        <f t="shared" si="17"/>
        <v>720310.60963974323</v>
      </c>
      <c r="E47" s="19">
        <f t="shared" si="17"/>
        <v>734716.821832538</v>
      </c>
      <c r="F47" s="19">
        <f t="shared" si="17"/>
        <v>749411.15826918883</v>
      </c>
      <c r="G47" s="19">
        <f t="shared" si="17"/>
        <v>764399.38143457239</v>
      </c>
      <c r="H47" s="19">
        <f t="shared" si="17"/>
        <v>779687.36906326399</v>
      </c>
      <c r="I47" s="19">
        <f t="shared" si="17"/>
        <v>795281.11644452938</v>
      </c>
      <c r="J47" s="19">
        <f t="shared" si="17"/>
        <v>811186.73877341987</v>
      </c>
      <c r="K47" s="20">
        <f t="shared" si="17"/>
        <v>827410.47354888823</v>
      </c>
      <c r="N47" s="3855"/>
      <c r="O47" s="3857"/>
      <c r="Z47" s="2808" t="s">
        <v>6774</v>
      </c>
      <c r="AA47" s="1788">
        <v>47</v>
      </c>
    </row>
    <row r="48" spans="1:27" ht="13.35" customHeight="1">
      <c r="A48" s="21" t="s">
        <v>977</v>
      </c>
      <c r="B48" s="22">
        <f t="shared" ref="B48:K48" si="18">$B$16*(1+$B$6)^(B46-1)</f>
        <v>13846.801415604446</v>
      </c>
      <c r="C48" s="22">
        <f t="shared" si="18"/>
        <v>14123.737443916532</v>
      </c>
      <c r="D48" s="22">
        <f t="shared" si="18"/>
        <v>14406.212192794865</v>
      </c>
      <c r="E48" s="22">
        <f t="shared" si="18"/>
        <v>14694.336436650761</v>
      </c>
      <c r="F48" s="22">
        <f t="shared" si="18"/>
        <v>14988.223165383779</v>
      </c>
      <c r="G48" s="22">
        <f t="shared" si="18"/>
        <v>15287.98762869145</v>
      </c>
      <c r="H48" s="22">
        <f t="shared" si="18"/>
        <v>15593.747381265281</v>
      </c>
      <c r="I48" s="22">
        <f t="shared" si="18"/>
        <v>15905.622328890588</v>
      </c>
      <c r="J48" s="22">
        <f t="shared" si="18"/>
        <v>16223.734775468398</v>
      </c>
      <c r="K48" s="23">
        <f t="shared" si="18"/>
        <v>16548.209470977767</v>
      </c>
      <c r="N48" s="3834"/>
      <c r="O48" s="3836"/>
      <c r="Z48" s="2808" t="s">
        <v>6774</v>
      </c>
      <c r="AA48" s="1787">
        <v>48</v>
      </c>
    </row>
    <row r="49" spans="1:27" ht="13.35" customHeight="1">
      <c r="A49" s="21" t="s">
        <v>2295</v>
      </c>
      <c r="B49" s="22">
        <f t="shared" ref="B49:K49" si="19">-(B47+B48)*$B$9</f>
        <v>-49433.081053707865</v>
      </c>
      <c r="C49" s="22">
        <f t="shared" si="19"/>
        <v>-50421.742674782021</v>
      </c>
      <c r="D49" s="22">
        <f t="shared" si="19"/>
        <v>-51430.177528277673</v>
      </c>
      <c r="E49" s="22">
        <f t="shared" si="19"/>
        <v>-52458.781078843218</v>
      </c>
      <c r="F49" s="22">
        <f t="shared" si="19"/>
        <v>-53507.956700420087</v>
      </c>
      <c r="G49" s="22">
        <f t="shared" si="19"/>
        <v>-54578.115834428478</v>
      </c>
      <c r="H49" s="22">
        <f t="shared" si="19"/>
        <v>-55669.678151117056</v>
      </c>
      <c r="I49" s="22">
        <f t="shared" si="19"/>
        <v>-56783.071714139405</v>
      </c>
      <c r="J49" s="22">
        <f t="shared" si="19"/>
        <v>-57918.73314842218</v>
      </c>
      <c r="K49" s="23">
        <f t="shared" si="19"/>
        <v>-59077.107811390626</v>
      </c>
      <c r="N49" s="3834"/>
      <c r="O49" s="3836"/>
      <c r="Z49" s="2808"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4"/>
      <c r="O50" s="3836"/>
      <c r="Z50" s="2808"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4"/>
      <c r="O51" s="3836"/>
      <c r="Z51" s="2808" t="s">
        <v>6774</v>
      </c>
      <c r="AA51" s="1787">
        <v>51</v>
      </c>
    </row>
    <row r="52" spans="1:27" ht="13.35" customHeight="1">
      <c r="A52" s="409" t="s">
        <v>4014</v>
      </c>
      <c r="B52" s="22">
        <f t="shared" ref="B52:K52" si="20">SUM(B47:B51)</f>
        <v>656753.79114211875</v>
      </c>
      <c r="C52" s="22">
        <f t="shared" si="20"/>
        <v>669888.86696496105</v>
      </c>
      <c r="D52" s="22">
        <f t="shared" si="20"/>
        <v>683286.6443042605</v>
      </c>
      <c r="E52" s="22">
        <f t="shared" si="20"/>
        <v>696952.37719034555</v>
      </c>
      <c r="F52" s="22">
        <f t="shared" si="20"/>
        <v>710891.4247341525</v>
      </c>
      <c r="G52" s="22">
        <f t="shared" si="20"/>
        <v>725109.25322883541</v>
      </c>
      <c r="H52" s="22">
        <f t="shared" si="20"/>
        <v>739611.43829341221</v>
      </c>
      <c r="I52" s="22">
        <f t="shared" si="20"/>
        <v>754403.66705928056</v>
      </c>
      <c r="J52" s="22">
        <f t="shared" si="20"/>
        <v>769491.74040046602</v>
      </c>
      <c r="K52" s="23">
        <f t="shared" si="20"/>
        <v>784881.57520847535</v>
      </c>
      <c r="N52" s="3834"/>
      <c r="O52" s="3836"/>
      <c r="Z52" s="2808" t="s">
        <v>6774</v>
      </c>
      <c r="AA52" s="1788">
        <v>52</v>
      </c>
    </row>
    <row r="53" spans="1:27" ht="13.35" customHeight="1">
      <c r="A53" s="21" t="s">
        <v>585</v>
      </c>
      <c r="B53" s="22">
        <f t="shared" ref="B53:K53" si="21">$B$21*(1+$B$7)^(B46-1)</f>
        <v>-411171.21626033407</v>
      </c>
      <c r="C53" s="22">
        <f t="shared" si="21"/>
        <v>-423506.35274814407</v>
      </c>
      <c r="D53" s="22">
        <f t="shared" si="21"/>
        <v>-436211.54333058838</v>
      </c>
      <c r="E53" s="22">
        <f t="shared" si="21"/>
        <v>-449297.88963050599</v>
      </c>
      <c r="F53" s="22">
        <f t="shared" si="21"/>
        <v>-462776.82631942123</v>
      </c>
      <c r="G53" s="22">
        <f t="shared" si="21"/>
        <v>-476660.13110900385</v>
      </c>
      <c r="H53" s="22">
        <f t="shared" si="21"/>
        <v>-490959.93504227389</v>
      </c>
      <c r="I53" s="22">
        <f t="shared" si="21"/>
        <v>-505688.73309354211</v>
      </c>
      <c r="J53" s="22">
        <f t="shared" si="21"/>
        <v>-520859.39508634841</v>
      </c>
      <c r="K53" s="23">
        <f t="shared" si="21"/>
        <v>-536485.17693893879</v>
      </c>
      <c r="N53" s="3834"/>
      <c r="O53" s="3836"/>
      <c r="Z53" s="2808"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-39823</v>
      </c>
      <c r="C54" s="22">
        <f>IF(AND('Part VII-Pro Forma'!$G$9="Yes",'Part VII-Pro Forma'!$G$10="Yes"),"Choose One!",IF('Part VII-Pro Forma'!$G$9="Yes",ROUND((-$K$9*(1+'Part VII-Pro Forma'!$B$7)^('Part VII-Pro Forma'!C46-1)),),IF('Part VII-Pro Forma'!$G$10="Yes",ROUND((-(SUM(C47:C50)*'Part VII-Pro Forma'!$K$10)),),"Choose mgt fee")))</f>
        <v>-41018</v>
      </c>
      <c r="D54" s="22">
        <f>IF(AND('Part VII-Pro Forma'!$G$9="Yes",'Part VII-Pro Forma'!$G$10="Yes"),"Choose One!",IF('Part VII-Pro Forma'!$G$9="Yes",ROUND((-$K$9*(1+'Part VII-Pro Forma'!$B$7)^('Part VII-Pro Forma'!D46-1)),),IF('Part VII-Pro Forma'!$G$10="Yes",ROUND((-(SUM(D47:D50)*'Part VII-Pro Forma'!$K$10)),),"Choose mgt fee")))</f>
        <v>-42248</v>
      </c>
      <c r="E54" s="22">
        <f>IF(AND('Part VII-Pro Forma'!$G$9="Yes",'Part VII-Pro Forma'!$G$10="Yes"),"Choose One!",IF('Part VII-Pro Forma'!$G$9="Yes",ROUND((-$K$9*(1+'Part VII-Pro Forma'!$B$7)^('Part VII-Pro Forma'!E46-1)),),IF('Part VII-Pro Forma'!$G$10="Yes",ROUND((-(SUM(E47:E50)*'Part VII-Pro Forma'!$K$10)),),"Choose mgt fee")))</f>
        <v>-43516</v>
      </c>
      <c r="F54" s="22">
        <f>IF(AND('Part VII-Pro Forma'!$G$9="Yes",'Part VII-Pro Forma'!$G$10="Yes"),"Choose One!",IF('Part VII-Pro Forma'!$G$9="Yes",ROUND((-$K$9*(1+'Part VII-Pro Forma'!$B$7)^('Part VII-Pro Forma'!F46-1)),),IF('Part VII-Pro Forma'!$G$10="Yes",ROUND((-(SUM(F47:F50)*'Part VII-Pro Forma'!$K$10)),),"Choose mgt fee")))</f>
        <v>-44821</v>
      </c>
      <c r="G54" s="22">
        <f>IF(AND('Part VII-Pro Forma'!$G$9="Yes",'Part VII-Pro Forma'!$G$10="Yes"),"Choose One!",IF('Part VII-Pro Forma'!$G$9="Yes",ROUND((-$K$9*(1+'Part VII-Pro Forma'!$B$7)^('Part VII-Pro Forma'!G46-1)),),IF('Part VII-Pro Forma'!$G$10="Yes",ROUND((-(SUM(G47:G50)*'Part VII-Pro Forma'!$K$10)),),"Choose mgt fee")))</f>
        <v>-46166</v>
      </c>
      <c r="H54" s="22">
        <f>IF(AND('Part VII-Pro Forma'!$G$9="Yes",'Part VII-Pro Forma'!$G$10="Yes"),"Choose One!",IF('Part VII-Pro Forma'!$G$9="Yes",ROUND((-$K$9*(1+'Part VII-Pro Forma'!$B$7)^('Part VII-Pro Forma'!H46-1)),),IF('Part VII-Pro Forma'!$G$10="Yes",ROUND((-(SUM(H47:H50)*'Part VII-Pro Forma'!$K$10)),),"Choose mgt fee")))</f>
        <v>-47551</v>
      </c>
      <c r="I54" s="22">
        <f>IF(AND('Part VII-Pro Forma'!$G$9="Yes",'Part VII-Pro Forma'!$G$10="Yes"),"Choose One!",IF('Part VII-Pro Forma'!$G$9="Yes",ROUND((-$K$9*(1+'Part VII-Pro Forma'!$B$7)^('Part VII-Pro Forma'!I46-1)),),IF('Part VII-Pro Forma'!$G$10="Yes",ROUND((-(SUM(I47:I50)*'Part VII-Pro Forma'!$K$10)),),"Choose mgt fee")))</f>
        <v>-48977</v>
      </c>
      <c r="J54" s="22">
        <f>IF(AND('Part VII-Pro Forma'!$G$9="Yes",'Part VII-Pro Forma'!$G$10="Yes"),"Choose One!",IF('Part VII-Pro Forma'!$G$9="Yes",ROUND((-$K$9*(1+'Part VII-Pro Forma'!$B$7)^('Part VII-Pro Forma'!J46-1)),),IF('Part VII-Pro Forma'!$G$10="Yes",ROUND((-(SUM(J47:J50)*'Part VII-Pro Forma'!$K$10)),),"Choose mgt fee")))</f>
        <v>-50446</v>
      </c>
      <c r="K54" s="23">
        <f>IF(AND('Part VII-Pro Forma'!$G$9="Yes",'Part VII-Pro Forma'!$G$10="Yes"),"Choose One!",IF('Part VII-Pro Forma'!$G$9="Yes",ROUND((-$K$9*(1+'Part VII-Pro Forma'!$B$7)^('Part VII-Pro Forma'!K46-1)),),IF('Part VII-Pro Forma'!$G$10="Yes",ROUND((-(SUM(K47:K50)*'Part VII-Pro Forma'!$K$10)),),"Choose mgt fee")))</f>
        <v>-51960</v>
      </c>
      <c r="N54" s="3834"/>
      <c r="O54" s="3836"/>
      <c r="Z54" s="2808" t="s">
        <v>6774</v>
      </c>
      <c r="AA54" s="1788">
        <v>54</v>
      </c>
    </row>
    <row r="55" spans="1:27" ht="13.35" customHeight="1">
      <c r="A55" s="21" t="s">
        <v>1156</v>
      </c>
      <c r="B55" s="22">
        <f t="shared" ref="B55:K55" si="22">$B$23*(1+$B$8)^(B46-1)</f>
        <v>-24190.494828194191</v>
      </c>
      <c r="C55" s="22">
        <f t="shared" si="22"/>
        <v>-24916.209673040019</v>
      </c>
      <c r="D55" s="22">
        <f t="shared" si="22"/>
        <v>-25663.695963231214</v>
      </c>
      <c r="E55" s="22">
        <f t="shared" si="22"/>
        <v>-26433.606842128149</v>
      </c>
      <c r="F55" s="22">
        <f t="shared" si="22"/>
        <v>-27226.615047391999</v>
      </c>
      <c r="G55" s="22">
        <f t="shared" si="22"/>
        <v>-28043.413498813759</v>
      </c>
      <c r="H55" s="22">
        <f t="shared" si="22"/>
        <v>-28884.715903778168</v>
      </c>
      <c r="I55" s="22">
        <f t="shared" si="22"/>
        <v>-29751.257380891511</v>
      </c>
      <c r="J55" s="22">
        <f t="shared" si="22"/>
        <v>-30643.795102318258</v>
      </c>
      <c r="K55" s="23">
        <f t="shared" si="22"/>
        <v>-31563.108955387805</v>
      </c>
      <c r="N55" s="3834"/>
      <c r="O55" s="3836"/>
      <c r="Q55" s="847">
        <v>10</v>
      </c>
      <c r="R55" s="945">
        <f>-SUM(B61:K61)</f>
        <v>0</v>
      </c>
      <c r="S55" s="945">
        <f>SUM(B62:K62)+R55</f>
        <v>0</v>
      </c>
      <c r="Z55" s="2808" t="s">
        <v>6774</v>
      </c>
      <c r="AA55" s="1788">
        <v>55</v>
      </c>
    </row>
    <row r="56" spans="1:27" ht="13.35" customHeight="1">
      <c r="A56" s="409" t="s">
        <v>4013</v>
      </c>
      <c r="B56" s="2944">
        <f>IF(B46&lt;=+'Part VI-Revenues &amp; Expenses'!$N$248,-'Part VI-Revenues &amp; Expenses'!$K$248,0)</f>
        <v>0</v>
      </c>
      <c r="C56" s="2944">
        <f>IF(C46&lt;=+'Part VI-Revenues &amp; Expenses'!$N$248,-'Part VI-Revenues &amp; Expenses'!$K$248,0)</f>
        <v>0</v>
      </c>
      <c r="D56" s="2944">
        <f>IF(D46&lt;=+'Part VI-Revenues &amp; Expenses'!$N$248,-'Part VI-Revenues &amp; Expenses'!$K$248,0)</f>
        <v>0</v>
      </c>
      <c r="E56" s="2944">
        <f>IF(E46&lt;=+'Part VI-Revenues &amp; Expenses'!$N$248,-'Part VI-Revenues &amp; Expenses'!$K$248,0)</f>
        <v>0</v>
      </c>
      <c r="F56" s="2944">
        <f>IF(F46&lt;=+'Part VI-Revenues &amp; Expenses'!$N$248,-'Part VI-Revenues &amp; Expenses'!$K$248,0)</f>
        <v>0</v>
      </c>
      <c r="G56" s="2944">
        <f>IF(G46&lt;=+'Part VI-Revenues &amp; Expenses'!$N$248,-'Part VI-Revenues &amp; Expenses'!$K$248,0)</f>
        <v>0</v>
      </c>
      <c r="H56" s="2944">
        <f>IF(H46&lt;=+'Part VI-Revenues &amp; Expenses'!$N$248,-'Part VI-Revenues &amp; Expenses'!$K$248,0)</f>
        <v>0</v>
      </c>
      <c r="I56" s="2944">
        <f>IF(I46&lt;=+'Part VI-Revenues &amp; Expenses'!$N$248,-'Part VI-Revenues &amp; Expenses'!$K$248,0)</f>
        <v>0</v>
      </c>
      <c r="J56" s="2944">
        <f>IF(J46&lt;=+'Part VI-Revenues &amp; Expenses'!$N$248,-'Part VI-Revenues &amp; Expenses'!$K$248,0)</f>
        <v>0</v>
      </c>
      <c r="K56" s="2944">
        <f>IF(K46&lt;=+'Part VI-Revenues &amp; Expenses'!$N$248,-'Part VI-Revenues &amp; Expenses'!$K$248,0)</f>
        <v>0</v>
      </c>
      <c r="N56" s="3834"/>
      <c r="O56" s="3836"/>
      <c r="Z56" s="2808" t="s">
        <v>6774</v>
      </c>
      <c r="AA56" s="1788">
        <v>56</v>
      </c>
    </row>
    <row r="57" spans="1:27" ht="13.35" customHeight="1">
      <c r="A57" s="21" t="s">
        <v>1157</v>
      </c>
      <c r="B57" s="22">
        <f t="shared" ref="B57:K57" si="23">SUM(B52:B56)</f>
        <v>181569.08005359047</v>
      </c>
      <c r="C57" s="22">
        <f t="shared" si="23"/>
        <v>180448.30454377696</v>
      </c>
      <c r="D57" s="22">
        <f t="shared" si="23"/>
        <v>179163.40501044091</v>
      </c>
      <c r="E57" s="22">
        <f t="shared" si="23"/>
        <v>177704.88071771141</v>
      </c>
      <c r="F57" s="22">
        <f t="shared" si="23"/>
        <v>176066.98336733927</v>
      </c>
      <c r="G57" s="22">
        <f t="shared" si="23"/>
        <v>174239.70862101781</v>
      </c>
      <c r="H57" s="22">
        <f t="shared" si="23"/>
        <v>172215.78734736016</v>
      </c>
      <c r="I57" s="22">
        <f t="shared" si="23"/>
        <v>169986.67658484695</v>
      </c>
      <c r="J57" s="22">
        <f t="shared" si="23"/>
        <v>167542.55021179936</v>
      </c>
      <c r="K57" s="1299">
        <f t="shared" si="23"/>
        <v>164873.28931414874</v>
      </c>
      <c r="N57" s="3834"/>
      <c r="O57" s="3836"/>
      <c r="Z57" s="2808" t="s">
        <v>6774</v>
      </c>
      <c r="AA57" s="1788">
        <v>57</v>
      </c>
    </row>
    <row r="58" spans="1:27" ht="13.35" customHeight="1">
      <c r="A58" s="21" t="str">
        <f>$A26</f>
        <v>Mortgage A</v>
      </c>
      <c r="B58" s="2945">
        <f>IF('Part III-Sources of Funds'!$P$40="", 0,-'Part III-Sources of Funds'!$P$40)</f>
        <v>-141266.50429738068</v>
      </c>
      <c r="C58" s="2945">
        <f>IF('Part III-Sources of Funds'!$P$40="", 0,-'Part III-Sources of Funds'!$P$40)</f>
        <v>-141266.50429738068</v>
      </c>
      <c r="D58" s="2945">
        <f>IF('Part III-Sources of Funds'!$P$40="", 0,-'Part III-Sources of Funds'!$P$40)</f>
        <v>-141266.50429738068</v>
      </c>
      <c r="E58" s="2945">
        <f>IF('Part III-Sources of Funds'!$P$40="", 0,-'Part III-Sources of Funds'!$P$40)</f>
        <v>-141266.50429738068</v>
      </c>
      <c r="F58" s="2945">
        <f>IF('Part III-Sources of Funds'!$P$40="", 0,-'Part III-Sources of Funds'!$P$40)</f>
        <v>-141266.50429738068</v>
      </c>
      <c r="G58" s="2945">
        <f>IF('Part III-Sources of Funds'!$P$40="", 0,-'Part III-Sources of Funds'!$P$40)</f>
        <v>-141266.50429738068</v>
      </c>
      <c r="H58" s="2945">
        <f>IF('Part III-Sources of Funds'!$P$40="", 0,-'Part III-Sources of Funds'!$P$40)</f>
        <v>-141266.50429738068</v>
      </c>
      <c r="I58" s="2945">
        <f>IF('Part III-Sources of Funds'!$P$40="", 0,-'Part III-Sources of Funds'!$P$40)</f>
        <v>-141266.50429738068</v>
      </c>
      <c r="J58" s="2945">
        <f>IF('Part III-Sources of Funds'!$P$40="", 0,-'Part III-Sources of Funds'!$P$40)</f>
        <v>-141266.50429738068</v>
      </c>
      <c r="K58" s="2945">
        <f>IF('Part III-Sources of Funds'!$P$40="", 0,-'Part III-Sources of Funds'!$P$40)</f>
        <v>-141266.50429738068</v>
      </c>
      <c r="N58" s="3834"/>
      <c r="O58" s="3836"/>
      <c r="Z58" s="2808" t="s">
        <v>6774</v>
      </c>
      <c r="AA58" s="1788">
        <v>58</v>
      </c>
    </row>
    <row r="59" spans="1:27" ht="13.35" customHeight="1">
      <c r="A59" s="21" t="str">
        <f>$A27</f>
        <v>Mortgage B</v>
      </c>
      <c r="B59" s="2946">
        <f>IF('Part III-Sources of Funds'!$P$41="", 0,-'Part III-Sources of Funds'!$P$41)</f>
        <v>0</v>
      </c>
      <c r="C59" s="2946">
        <f>IF('Part III-Sources of Funds'!$P$41="", 0,-'Part III-Sources of Funds'!$P$41)</f>
        <v>0</v>
      </c>
      <c r="D59" s="2946">
        <f>IF('Part III-Sources of Funds'!$P$41="", 0,-'Part III-Sources of Funds'!$P$41)</f>
        <v>0</v>
      </c>
      <c r="E59" s="2946">
        <f>IF('Part III-Sources of Funds'!$P$41="", 0,-'Part III-Sources of Funds'!$P$41)</f>
        <v>0</v>
      </c>
      <c r="F59" s="2946">
        <f>IF('Part III-Sources of Funds'!$P$41="", 0,-'Part III-Sources of Funds'!$P$41)</f>
        <v>0</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34"/>
      <c r="O59" s="3836"/>
      <c r="Z59" s="2808" t="s">
        <v>6774</v>
      </c>
      <c r="AA59" s="1788">
        <v>59</v>
      </c>
    </row>
    <row r="60" spans="1:27" ht="13.35" customHeight="1">
      <c r="A60" s="21" t="str">
        <f>$A28</f>
        <v>Mortgage C</v>
      </c>
      <c r="B60" s="2946">
        <f>IF('Part III-Sources of Funds'!$P$42="", 0,-'Part III-Sources of Funds'!$P$42)</f>
        <v>0</v>
      </c>
      <c r="C60" s="2946">
        <f>IF('Part III-Sources of Funds'!$P$42="", 0,-'Part III-Sources of Funds'!$P$42)</f>
        <v>0</v>
      </c>
      <c r="D60" s="2946">
        <f>IF('Part III-Sources of Funds'!$P$42="", 0,-'Part III-Sources of Funds'!$P$42)</f>
        <v>0</v>
      </c>
      <c r="E60" s="2946">
        <f>IF('Part III-Sources of Funds'!$P$42="", 0,-'Part III-Sources of Funds'!$P$42)</f>
        <v>0</v>
      </c>
      <c r="F60" s="2946">
        <f>IF('Part III-Sources of Funds'!$P$42="", 0,-'Part III-Sources of Funds'!$P$42)</f>
        <v>0</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34"/>
      <c r="O60" s="3836"/>
      <c r="Z60" s="2808" t="s">
        <v>6774</v>
      </c>
      <c r="AA60" s="1787">
        <v>60</v>
      </c>
    </row>
    <row r="61" spans="1:27" ht="13.35" customHeight="1">
      <c r="A61" s="21" t="str">
        <f>$A29</f>
        <v>D/S Other Source,not DDF</v>
      </c>
      <c r="B61" s="2946">
        <f>IF('Part III-Sources of Funds'!$P$43="", 0,-'Part III-Sources of Funds'!$P$43)</f>
        <v>0</v>
      </c>
      <c r="C61" s="2946">
        <f>IF('Part III-Sources of Funds'!$P$43="", 0,-'Part III-Sources of Funds'!$P$43)</f>
        <v>0</v>
      </c>
      <c r="D61" s="2946">
        <f>IF('Part III-Sources of Funds'!$P$43="", 0,-'Part III-Sources of Funds'!$P$43)</f>
        <v>0</v>
      </c>
      <c r="E61" s="2946">
        <f>IF('Part III-Sources of Funds'!$P$43="", 0,-'Part III-Sources of Funds'!$P$43)</f>
        <v>0</v>
      </c>
      <c r="F61" s="2946">
        <f>IF('Part III-Sources of Funds'!$P$43="", 0,-'Part III-Sources of Funds'!$P$43)</f>
        <v>0</v>
      </c>
      <c r="G61" s="2946">
        <f>IF('Part III-Sources of Funds'!$P$43="", 0,-'Part III-Sources of Funds'!$P$43)</f>
        <v>0</v>
      </c>
      <c r="H61" s="2946">
        <f>IF('Part III-Sources of Funds'!$P$43="", 0,-'Part III-Sources of Funds'!$P$43)</f>
        <v>0</v>
      </c>
      <c r="I61" s="2946">
        <f>IF('Part III-Sources of Funds'!$P$43="", 0,-'Part III-Sources of Funds'!$P$43)</f>
        <v>0</v>
      </c>
      <c r="J61" s="2946">
        <f>IF('Part III-Sources of Funds'!$P$43="", 0,-'Part III-Sources of Funds'!$P$43)</f>
        <v>0</v>
      </c>
      <c r="K61" s="2946">
        <f>IF('Part III-Sources of Funds'!$P$43="", 0,-'Part III-Sources of Funds'!$P$43)</f>
        <v>0</v>
      </c>
      <c r="N61" s="3834"/>
      <c r="O61" s="3836"/>
      <c r="Z61" s="2808" t="s">
        <v>6774</v>
      </c>
      <c r="AA61" s="1788">
        <v>61</v>
      </c>
    </row>
    <row r="62" spans="1:27" ht="13.35" customHeight="1">
      <c r="A62" s="21" t="s">
        <v>733</v>
      </c>
      <c r="B62" s="2947"/>
      <c r="C62" s="2947"/>
      <c r="D62" s="2947"/>
      <c r="E62" s="2947"/>
      <c r="F62" s="2947"/>
      <c r="G62" s="2947"/>
      <c r="H62" s="2947"/>
      <c r="I62" s="2947"/>
      <c r="J62" s="2947"/>
      <c r="K62" s="2947"/>
      <c r="N62" s="3834"/>
      <c r="O62" s="3836"/>
      <c r="Q62" s="847"/>
      <c r="R62" s="945"/>
      <c r="Z62" s="2808" t="s">
        <v>6774</v>
      </c>
      <c r="AA62" s="1788">
        <v>62</v>
      </c>
    </row>
    <row r="63" spans="1:27" ht="13.35" customHeight="1">
      <c r="A63" s="409" t="s">
        <v>1121</v>
      </c>
      <c r="B63" s="2946">
        <f>K31*1.03</f>
        <v>-9676.1979312776821</v>
      </c>
      <c r="C63" s="2946">
        <f>B63*1.03</f>
        <v>-9966.483869216012</v>
      </c>
      <c r="D63" s="2946">
        <f t="shared" ref="D63:K63" si="24">C63*1.03</f>
        <v>-10265.478385292492</v>
      </c>
      <c r="E63" s="2946">
        <f t="shared" si="24"/>
        <v>-10573.442736851268</v>
      </c>
      <c r="F63" s="2946">
        <f t="shared" si="24"/>
        <v>-10890.646018956806</v>
      </c>
      <c r="G63" s="2946">
        <f t="shared" si="24"/>
        <v>-11217.36539952551</v>
      </c>
      <c r="H63" s="2946">
        <f t="shared" si="24"/>
        <v>-11553.886361511275</v>
      </c>
      <c r="I63" s="2946">
        <f t="shared" si="24"/>
        <v>-11900.502952356614</v>
      </c>
      <c r="J63" s="2946">
        <f t="shared" si="24"/>
        <v>-12257.518040927313</v>
      </c>
      <c r="K63" s="2946">
        <f t="shared" si="24"/>
        <v>-12625.243582155132</v>
      </c>
      <c r="N63" s="3834"/>
      <c r="O63" s="3836"/>
      <c r="Z63" s="2808" t="s">
        <v>6774</v>
      </c>
      <c r="AA63" s="1788">
        <v>63</v>
      </c>
    </row>
    <row r="64" spans="1:27" ht="13.35" customHeight="1">
      <c r="A64" s="409" t="s">
        <v>3509</v>
      </c>
      <c r="B64" s="2949"/>
      <c r="C64" s="2949"/>
      <c r="D64" s="2949"/>
      <c r="E64" s="2949"/>
      <c r="F64" s="2949"/>
      <c r="G64" s="2949"/>
      <c r="H64" s="2949"/>
      <c r="I64" s="2949"/>
      <c r="J64" s="2949"/>
      <c r="K64" s="2949"/>
      <c r="N64" s="3834"/>
      <c r="O64" s="3836"/>
      <c r="Z64" s="2808" t="s">
        <v>6774</v>
      </c>
      <c r="AA64" s="1788">
        <v>64</v>
      </c>
    </row>
    <row r="65" spans="1:27" ht="13.35" customHeight="1">
      <c r="A65" s="21" t="s">
        <v>1122</v>
      </c>
      <c r="B65" s="22">
        <f t="shared" ref="B65:K65" si="25">SUM(B57:B64)</f>
        <v>30626.377824932104</v>
      </c>
      <c r="C65" s="22">
        <f t="shared" si="25"/>
        <v>29215.316377180265</v>
      </c>
      <c r="D65" s="22">
        <f t="shared" si="25"/>
        <v>27631.422327767734</v>
      </c>
      <c r="E65" s="22">
        <f t="shared" si="25"/>
        <v>25864.933683479452</v>
      </c>
      <c r="F65" s="22">
        <f t="shared" si="25"/>
        <v>23909.83305100178</v>
      </c>
      <c r="G65" s="22">
        <f t="shared" si="25"/>
        <v>21755.838924111617</v>
      </c>
      <c r="H65" s="22">
        <f t="shared" si="25"/>
        <v>19395.396688468205</v>
      </c>
      <c r="I65" s="22">
        <f t="shared" si="25"/>
        <v>16819.669335109655</v>
      </c>
      <c r="J65" s="22">
        <f t="shared" si="25"/>
        <v>14018.527873491363</v>
      </c>
      <c r="K65" s="566">
        <f t="shared" si="25"/>
        <v>10981.541434612927</v>
      </c>
      <c r="N65" s="3834"/>
      <c r="O65" s="3836"/>
      <c r="Z65" s="2808" t="s">
        <v>6774</v>
      </c>
      <c r="AA65" s="1788">
        <v>65</v>
      </c>
    </row>
    <row r="66" spans="1:27" ht="13.35" customHeight="1">
      <c r="A66" s="21" t="str">
        <f>$A34</f>
        <v>DCR Mortgage A</v>
      </c>
      <c r="B66" s="24">
        <f t="shared" ref="B66:K66" si="26">IF(B58=0,"",-B57/B58)</f>
        <v>1.285294634822765</v>
      </c>
      <c r="C66" s="24">
        <f t="shared" si="26"/>
        <v>1.277360867965661</v>
      </c>
      <c r="D66" s="24">
        <f t="shared" si="26"/>
        <v>1.2682652968695489</v>
      </c>
      <c r="E66" s="24">
        <f t="shared" si="26"/>
        <v>1.2579406675458193</v>
      </c>
      <c r="F66" s="24">
        <f t="shared" si="26"/>
        <v>1.2463462888322059</v>
      </c>
      <c r="G66" s="24">
        <f t="shared" si="26"/>
        <v>1.2334113418296604</v>
      </c>
      <c r="H66" s="24">
        <f t="shared" si="26"/>
        <v>1.219084369673564</v>
      </c>
      <c r="I66" s="24">
        <f t="shared" si="26"/>
        <v>1.2033048982864849</v>
      </c>
      <c r="J66" s="24">
        <f t="shared" si="26"/>
        <v>1.1860033703326081</v>
      </c>
      <c r="K66" s="25">
        <f t="shared" si="26"/>
        <v>1.167108155851817</v>
      </c>
      <c r="N66" s="3834"/>
      <c r="O66" s="3836"/>
      <c r="Z66" s="2808"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4"/>
      <c r="O67" s="3836"/>
      <c r="Z67" s="2808"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4"/>
      <c r="O68" s="3836"/>
      <c r="Z68" s="2808"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4"/>
      <c r="O69" s="3836"/>
      <c r="Z69" s="2808" t="s">
        <v>6774</v>
      </c>
      <c r="AA69" s="1787">
        <v>69</v>
      </c>
    </row>
    <row r="70" spans="1:27" ht="13.35" customHeight="1">
      <c r="A70" s="409" t="s">
        <v>3343</v>
      </c>
      <c r="B70" s="24">
        <f t="shared" ref="B70:K70" si="30">IF(AND(B58=0,B59=0,B60=0,B61=0),"",-B57/(B58+B59+B60+B61))</f>
        <v>1.285294634822765</v>
      </c>
      <c r="C70" s="24">
        <f t="shared" si="30"/>
        <v>1.277360867965661</v>
      </c>
      <c r="D70" s="24">
        <f t="shared" si="30"/>
        <v>1.2682652968695489</v>
      </c>
      <c r="E70" s="24">
        <f t="shared" si="30"/>
        <v>1.2579406675458193</v>
      </c>
      <c r="F70" s="24">
        <f t="shared" si="30"/>
        <v>1.2463462888322059</v>
      </c>
      <c r="G70" s="24">
        <f t="shared" si="30"/>
        <v>1.2334113418296604</v>
      </c>
      <c r="H70" s="24">
        <f t="shared" si="30"/>
        <v>1.219084369673564</v>
      </c>
      <c r="I70" s="24">
        <f t="shared" si="30"/>
        <v>1.2033048982864849</v>
      </c>
      <c r="J70" s="24">
        <f t="shared" si="30"/>
        <v>1.1860033703326081</v>
      </c>
      <c r="K70" s="25">
        <f t="shared" si="30"/>
        <v>1.167108155851817</v>
      </c>
      <c r="N70" s="3834"/>
      <c r="O70" s="3836"/>
      <c r="Z70" s="2808" t="s">
        <v>6774</v>
      </c>
      <c r="AA70" s="1788">
        <v>70</v>
      </c>
    </row>
    <row r="71" spans="1:27" ht="13.35" customHeight="1">
      <c r="A71" s="21" t="s">
        <v>740</v>
      </c>
      <c r="B71" s="263">
        <f t="shared" ref="B71:K71" si="31">IF(OR(B54="Choose mgt fee",B54="Choose One!"),"",(B47+B48+B49+B50+B51) / -(B53+B54+B55))</f>
        <v>1.3821021085414587</v>
      </c>
      <c r="C71" s="263">
        <f t="shared" si="31"/>
        <v>1.3686827745766066</v>
      </c>
      <c r="D71" s="263">
        <f t="shared" si="31"/>
        <v>1.3553960441526454</v>
      </c>
      <c r="E71" s="263">
        <f t="shared" si="31"/>
        <v>1.3422354116772848</v>
      </c>
      <c r="F71" s="263">
        <f t="shared" si="31"/>
        <v>1.3292051928617497</v>
      </c>
      <c r="G71" s="263">
        <f t="shared" si="31"/>
        <v>1.3162994039633553</v>
      </c>
      <c r="H71" s="263">
        <f t="shared" si="31"/>
        <v>1.3035197521521613</v>
      </c>
      <c r="I71" s="263">
        <f t="shared" si="31"/>
        <v>1.2908653912454715</v>
      </c>
      <c r="J71" s="263">
        <f t="shared" si="31"/>
        <v>1.2783333758772681</v>
      </c>
      <c r="K71" s="264">
        <f t="shared" si="31"/>
        <v>1.2659211063225202</v>
      </c>
      <c r="N71" s="3834"/>
      <c r="O71" s="3836"/>
      <c r="Z71" s="2808" t="s">
        <v>6774</v>
      </c>
      <c r="AA71" s="1788">
        <v>71</v>
      </c>
    </row>
    <row r="72" spans="1:27" ht="13.35" customHeight="1">
      <c r="A72" s="409" t="s">
        <v>2493</v>
      </c>
      <c r="B72" s="2950">
        <f>IF('Part III-Sources of Funds'!$I$40="","",-FV('Part III-Sources of Funds'!$K$40/12,12,B58/12,K40))</f>
        <v>1943954.6839433475</v>
      </c>
      <c r="C72" s="2950">
        <f>IF('Part III-Sources of Funds'!$I$40="","",-FV('Part III-Sources of Funds'!$K$40/12,12,C58/12,B72))</f>
        <v>1901816.4362016488</v>
      </c>
      <c r="D72" s="2950">
        <f>IF('Part III-Sources of Funds'!$I$40="","",-FV('Part III-Sources of Funds'!$K$40/12,12,D58/12,C72))</f>
        <v>1857456.1049220893</v>
      </c>
      <c r="E72" s="2950">
        <f>IF('Part III-Sources of Funds'!$I$40="","",-FV('Part III-Sources of Funds'!$K$40/12,12,E58/12,D72))</f>
        <v>1810756.5125874761</v>
      </c>
      <c r="F72" s="2950">
        <f>IF('Part III-Sources of Funds'!$I$40="","",-FV('Part III-Sources of Funds'!$K$40/12,12,F58/12,E72))</f>
        <v>1761594.3025382475</v>
      </c>
      <c r="G72" s="2950">
        <f>IF('Part III-Sources of Funds'!$I$40="","",-FV('Part III-Sources of Funds'!$K$40/12,12,G58/12,F72))</f>
        <v>1709839.6131266856</v>
      </c>
      <c r="H72" s="2950">
        <f>IF('Part III-Sources of Funds'!$I$40="","",-FV('Part III-Sources of Funds'!$K$40/12,12,H58/12,G72))</f>
        <v>1655355.7346882452</v>
      </c>
      <c r="I72" s="2950">
        <f>IF('Part III-Sources of Funds'!$I$40="","",-FV('Part III-Sources of Funds'!$K$40/12,12,I58/12,H72))</f>
        <v>1597998.7484238932</v>
      </c>
      <c r="J72" s="2950">
        <f>IF('Part III-Sources of Funds'!$I$40="","",-FV('Part III-Sources of Funds'!$K$40/12,12,J58/12,I72))</f>
        <v>1537617.146239568</v>
      </c>
      <c r="K72" s="2950">
        <f>IF('Part III-Sources of Funds'!$I$40="","",-FV('Part III-Sources of Funds'!$K$40/12,12,K58/12,J72))</f>
        <v>1474051.4305385652</v>
      </c>
      <c r="N72" s="3834"/>
      <c r="O72" s="3836"/>
      <c r="Z72" s="2808" t="s">
        <v>6774</v>
      </c>
      <c r="AA72" s="1788">
        <v>72</v>
      </c>
    </row>
    <row r="73" spans="1:27" ht="13.35" customHeight="1">
      <c r="A73" s="409" t="s">
        <v>2494</v>
      </c>
      <c r="B73" s="2946" t="str">
        <f>IF('Part III-Sources of Funds'!$I$41="","",-FV('Part III-Sources of Funds'!$K$41/12,12,B59/12,K41))</f>
        <v/>
      </c>
      <c r="C73" s="2946" t="str">
        <f>IF('Part III-Sources of Funds'!$I$41="","",-FV('Part III-Sources of Funds'!$K$41/12,12,C59/12,B73))</f>
        <v/>
      </c>
      <c r="D73" s="2946" t="str">
        <f>IF('Part III-Sources of Funds'!$I$41="","",-FV('Part III-Sources of Funds'!$K$41/12,12,D59/12,C73))</f>
        <v/>
      </c>
      <c r="E73" s="2946" t="str">
        <f>IF('Part III-Sources of Funds'!$I$41="","",-FV('Part III-Sources of Funds'!$K$41/12,12,E59/12,D73))</f>
        <v/>
      </c>
      <c r="F73" s="2946" t="str">
        <f>IF('Part III-Sources of Funds'!$I$41="","",-FV('Part III-Sources of Funds'!$K$41/12,12,F59/12,E73))</f>
        <v/>
      </c>
      <c r="G73" s="2946" t="str">
        <f>IF('Part III-Sources of Funds'!$I$41="","",-FV('Part III-Sources of Funds'!$K$41/12,12,G59/12,F73))</f>
        <v/>
      </c>
      <c r="H73" s="2946" t="str">
        <f>IF('Part III-Sources of Funds'!$I$41="","",-FV('Part III-Sources of Funds'!$K$41/12,12,H59/12,G73))</f>
        <v/>
      </c>
      <c r="I73" s="2946" t="str">
        <f>IF('Part III-Sources of Funds'!$I$41="","",-FV('Part III-Sources of Funds'!$K$41/12,12,I59/12,H73))</f>
        <v/>
      </c>
      <c r="J73" s="2946" t="str">
        <f>IF('Part III-Sources of Funds'!$I$41="","",-FV('Part III-Sources of Funds'!$K$41/12,12,J59/12,I73))</f>
        <v/>
      </c>
      <c r="K73" s="2946" t="str">
        <f>IF('Part III-Sources of Funds'!$I$41="","",-FV('Part III-Sources of Funds'!$K$41/12,12,K59/12,J73))</f>
        <v/>
      </c>
      <c r="N73" s="3834"/>
      <c r="O73" s="3836"/>
      <c r="Z73" s="2808" t="s">
        <v>6774</v>
      </c>
      <c r="AA73" s="1788">
        <v>73</v>
      </c>
    </row>
    <row r="74" spans="1:27" ht="13.35" customHeight="1">
      <c r="A74" s="409" t="s">
        <v>2495</v>
      </c>
      <c r="B74" s="2946" t="str">
        <f>IF('Part III-Sources of Funds'!$I$42="","",-FV('Part III-Sources of Funds'!$K$42/12,12,B60/12,K42))</f>
        <v/>
      </c>
      <c r="C74" s="2946" t="str">
        <f>IF('Part III-Sources of Funds'!$I$42="","",-FV('Part III-Sources of Funds'!$K$42/12,12,C60/12,B74))</f>
        <v/>
      </c>
      <c r="D74" s="2946" t="str">
        <f>IF('Part III-Sources of Funds'!$I$42="","",-FV('Part III-Sources of Funds'!$K$42/12,12,D60/12,C74))</f>
        <v/>
      </c>
      <c r="E74" s="2946" t="str">
        <f>IF('Part III-Sources of Funds'!$I$42="","",-FV('Part III-Sources of Funds'!$K$42/12,12,E60/12,D74))</f>
        <v/>
      </c>
      <c r="F74" s="2946" t="str">
        <f>IF('Part III-Sources of Funds'!$I$42="","",-FV('Part III-Sources of Funds'!$K$42/12,12,F60/12,E74))</f>
        <v/>
      </c>
      <c r="G74" s="2946" t="str">
        <f>IF('Part III-Sources of Funds'!$I$42="","",-FV('Part III-Sources of Funds'!$K$42/12,12,G60/12,F74))</f>
        <v/>
      </c>
      <c r="H74" s="2946" t="str">
        <f>IF('Part III-Sources of Funds'!$I$42="","",-FV('Part III-Sources of Funds'!$K$42/12,12,H60/12,G74))</f>
        <v/>
      </c>
      <c r="I74" s="2946" t="str">
        <f>IF('Part III-Sources of Funds'!$I$42="","",-FV('Part III-Sources of Funds'!$K$42/12,12,I60/12,H74))</f>
        <v/>
      </c>
      <c r="J74" s="2946" t="str">
        <f>IF('Part III-Sources of Funds'!$I$42="","",-FV('Part III-Sources of Funds'!$K$42/12,12,J60/12,I74))</f>
        <v/>
      </c>
      <c r="K74" s="2946" t="str">
        <f>IF('Part III-Sources of Funds'!$I$42="","",-FV('Part III-Sources of Funds'!$K$42/12,12,K60/12,J74))</f>
        <v/>
      </c>
      <c r="N74" s="3834"/>
      <c r="O74" s="3836"/>
      <c r="Z74" s="2808" t="s">
        <v>6774</v>
      </c>
      <c r="AA74" s="1787">
        <v>74</v>
      </c>
    </row>
    <row r="75" spans="1:27" ht="13.35" customHeight="1">
      <c r="A75" s="21" t="s">
        <v>752</v>
      </c>
      <c r="B75" s="2946" t="str">
        <f>IF('Part III-Sources of Funds'!$I$43="","",-FV('Part III-Sources of Funds'!$K$43/12,12,B61/12,K43))</f>
        <v/>
      </c>
      <c r="C75" s="2946" t="str">
        <f>IF('Part III-Sources of Funds'!$I$43="","",-FV('Part III-Sources of Funds'!$K$43/12,12,C61/12,B75))</f>
        <v/>
      </c>
      <c r="D75" s="2946" t="str">
        <f>IF('Part III-Sources of Funds'!$I$43="","",-FV('Part III-Sources of Funds'!$K$43/12,12,D61/12,C75))</f>
        <v/>
      </c>
      <c r="E75" s="2946" t="str">
        <f>IF('Part III-Sources of Funds'!$I$43="","",-FV('Part III-Sources of Funds'!$K$43/12,12,E61/12,D75))</f>
        <v/>
      </c>
      <c r="F75" s="2946" t="str">
        <f>IF('Part III-Sources of Funds'!$I$43="","",-FV('Part III-Sources of Funds'!$K$43/12,12,F61/12,E75))</f>
        <v/>
      </c>
      <c r="G75" s="2946" t="str">
        <f>IF('Part III-Sources of Funds'!$I$43="","",-FV('Part III-Sources of Funds'!$K$43/12,12,G61/12,F75))</f>
        <v/>
      </c>
      <c r="H75" s="2946" t="str">
        <f>IF('Part III-Sources of Funds'!$I$43="","",-FV('Part III-Sources of Funds'!$K$43/12,12,H61/12,G75))</f>
        <v/>
      </c>
      <c r="I75" s="2946" t="str">
        <f>IF('Part III-Sources of Funds'!$I$43="","",-FV('Part III-Sources of Funds'!$K$43/12,12,I61/12,H75))</f>
        <v/>
      </c>
      <c r="J75" s="2946" t="str">
        <f>IF('Part III-Sources of Funds'!$I$43="","",-FV('Part III-Sources of Funds'!$K$43/12,12,J61/12,I75))</f>
        <v/>
      </c>
      <c r="K75" s="2946" t="str">
        <f>IF('Part III-Sources of Funds'!$I$43="","",-FV('Part III-Sources of Funds'!$K$43/12,12,K61/12,J75))</f>
        <v/>
      </c>
      <c r="N75" s="3834"/>
      <c r="O75" s="3836"/>
      <c r="Z75" s="2808" t="s">
        <v>6774</v>
      </c>
      <c r="AA75" s="1788">
        <v>75</v>
      </c>
    </row>
    <row r="76" spans="1:27" ht="13.35" customHeight="1">
      <c r="A76" s="409" t="s">
        <v>3510</v>
      </c>
      <c r="B76" s="2949">
        <f>IF('Part III-Sources of Funds'!$I$45="","",IF(-FV('Part III-Sources of Funds'!$K$45/12,12,B64/12,K44)&gt;0,-FV('Part III-Sources of Funds'!$K$45/12,12,B64/12,K44),0))</f>
        <v>0</v>
      </c>
      <c r="C76" s="2949">
        <f>IF('Part III-Sources of Funds'!$I$45="","",IF(-FV('Part III-Sources of Funds'!$K$45/12,12,C64/12,B76)&gt;0,-FV('Part III-Sources of Funds'!$K$45/12,12,C64/12,B76),0))</f>
        <v>0</v>
      </c>
      <c r="D76" s="2949">
        <f>IF('Part III-Sources of Funds'!$I$45="","",IF(-FV('Part III-Sources of Funds'!$K$45/12,12,D64/12,C76)&gt;0,-FV('Part III-Sources of Funds'!$K$45/12,12,D64/12,C76),0))</f>
        <v>0</v>
      </c>
      <c r="E76" s="2949">
        <f>IF('Part III-Sources of Funds'!$I$45="","",IF(-FV('Part III-Sources of Funds'!$K$45/12,12,E64/12,D76)&gt;0,-FV('Part III-Sources of Funds'!$K$45/12,12,E64/12,D76),0))</f>
        <v>0</v>
      </c>
      <c r="F76" s="2949">
        <f>IF('Part III-Sources of Funds'!$I$45="","",IF(-FV('Part III-Sources of Funds'!$K$45/12,12,F64/12,E76)&gt;0,-FV('Part III-Sources of Funds'!$K$45/12,12,F64/12,E76),0))</f>
        <v>0</v>
      </c>
      <c r="G76" s="2949">
        <f>IF('Part III-Sources of Funds'!$I$45="","",IF(-FV('Part III-Sources of Funds'!$K$45/12,12,G64/12,F76)&gt;0,-FV('Part III-Sources of Funds'!$K$45/12,12,G64/12,F76),0))</f>
        <v>0</v>
      </c>
      <c r="H76" s="2949" t="str">
        <f>IF('Part III-Sources of Funds'!$I$43="","",-FV('Part III-Sources of Funds'!$K$43/12,12,H62/12,G76))</f>
        <v/>
      </c>
      <c r="I76" s="2949" t="str">
        <f>IF('Part III-Sources of Funds'!$I$43="","",-FV('Part III-Sources of Funds'!$K$43/12,12,I62/12,H76))</f>
        <v/>
      </c>
      <c r="J76" s="2949" t="str">
        <f>IF('Part III-Sources of Funds'!$I$43="","",-FV('Part III-Sources of Funds'!$K$43/12,12,J62/12,I76))</f>
        <v/>
      </c>
      <c r="K76" s="2949" t="str">
        <f>IF('Part III-Sources of Funds'!$I$43="","",-FV('Part III-Sources of Funds'!$K$43/12,12,K62/12,J76))</f>
        <v/>
      </c>
      <c r="N76" s="3840"/>
      <c r="O76" s="3842"/>
      <c r="Z76" s="2808"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9" t="s">
        <v>2498</v>
      </c>
      <c r="O78" s="3529"/>
      <c r="AA78" s="1788">
        <v>78</v>
      </c>
    </row>
    <row r="79" spans="1:27" ht="13.35" customHeight="1">
      <c r="A79" s="18" t="s">
        <v>2294</v>
      </c>
      <c r="B79" s="19">
        <f t="shared" ref="B79:K79" si="33">$B$15*(1+$B$6)^(B78-1)</f>
        <v>843958.68301986612</v>
      </c>
      <c r="C79" s="19">
        <f t="shared" si="33"/>
        <v>860837.8566802633</v>
      </c>
      <c r="D79" s="19">
        <f t="shared" si="33"/>
        <v>878054.61381386861</v>
      </c>
      <c r="E79" s="19">
        <f t="shared" si="33"/>
        <v>895615.70609014586</v>
      </c>
      <c r="F79" s="19">
        <f t="shared" si="33"/>
        <v>913528.02021194878</v>
      </c>
      <c r="G79" s="19">
        <f t="shared" si="33"/>
        <v>931798.58061618777</v>
      </c>
      <c r="H79" s="19">
        <f t="shared" si="33"/>
        <v>950434.55222851166</v>
      </c>
      <c r="I79" s="19">
        <f t="shared" si="33"/>
        <v>969443.24327308172</v>
      </c>
      <c r="J79" s="19">
        <f t="shared" si="33"/>
        <v>988832.10813854355</v>
      </c>
      <c r="K79" s="20">
        <f t="shared" si="33"/>
        <v>1008608.7503013143</v>
      </c>
      <c r="N79" s="3855"/>
      <c r="O79" s="3857"/>
      <c r="Z79" s="2808" t="s">
        <v>6775</v>
      </c>
      <c r="AA79" s="1788">
        <v>79</v>
      </c>
    </row>
    <row r="80" spans="1:27" ht="13.35" customHeight="1">
      <c r="A80" s="21" t="s">
        <v>977</v>
      </c>
      <c r="B80" s="22">
        <f t="shared" ref="B80:K80" si="34">$B$16*(1+$B$6)^(B78-1)</f>
        <v>16879.173660397322</v>
      </c>
      <c r="C80" s="22">
        <f t="shared" si="34"/>
        <v>17216.757133605268</v>
      </c>
      <c r="D80" s="22">
        <f t="shared" si="34"/>
        <v>17561.092276277373</v>
      </c>
      <c r="E80" s="22">
        <f t="shared" si="34"/>
        <v>17912.31412180292</v>
      </c>
      <c r="F80" s="22">
        <f t="shared" si="34"/>
        <v>18270.560404238979</v>
      </c>
      <c r="G80" s="22">
        <f t="shared" si="34"/>
        <v>18635.971612323756</v>
      </c>
      <c r="H80" s="22">
        <f t="shared" si="34"/>
        <v>19008.691044570234</v>
      </c>
      <c r="I80" s="22">
        <f t="shared" si="34"/>
        <v>19388.864865461634</v>
      </c>
      <c r="J80" s="22">
        <f t="shared" si="34"/>
        <v>19776.642162770873</v>
      </c>
      <c r="K80" s="23">
        <f t="shared" si="34"/>
        <v>20172.175006026286</v>
      </c>
      <c r="N80" s="3834"/>
      <c r="O80" s="3836"/>
      <c r="Z80" s="2808" t="s">
        <v>6775</v>
      </c>
      <c r="AA80" s="1788">
        <v>80</v>
      </c>
    </row>
    <row r="81" spans="1:27" ht="13.35" customHeight="1">
      <c r="A81" s="21" t="s">
        <v>2295</v>
      </c>
      <c r="B81" s="22">
        <f t="shared" ref="B81:K81" si="35">-(B79+B80)*$B$9</f>
        <v>-60258.649967618447</v>
      </c>
      <c r="C81" s="22">
        <f t="shared" si="35"/>
        <v>-61463.822966970809</v>
      </c>
      <c r="D81" s="22">
        <f t="shared" si="35"/>
        <v>-62693.099426310226</v>
      </c>
      <c r="E81" s="22">
        <f t="shared" si="35"/>
        <v>-63946.96141483642</v>
      </c>
      <c r="F81" s="22">
        <f t="shared" si="35"/>
        <v>-65225.900643133151</v>
      </c>
      <c r="G81" s="22">
        <f t="shared" si="35"/>
        <v>-66530.418655995818</v>
      </c>
      <c r="H81" s="22">
        <f t="shared" si="35"/>
        <v>-67861.027029115736</v>
      </c>
      <c r="I81" s="22">
        <f t="shared" si="35"/>
        <v>-69218.24756969804</v>
      </c>
      <c r="J81" s="22">
        <f t="shared" si="35"/>
        <v>-70602.612521092015</v>
      </c>
      <c r="K81" s="23">
        <f t="shared" si="35"/>
        <v>-72014.664771513853</v>
      </c>
      <c r="N81" s="3834"/>
      <c r="O81" s="3836"/>
      <c r="Z81" s="2808"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4"/>
      <c r="O82" s="3836"/>
      <c r="Z82" s="2808"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4"/>
      <c r="O83" s="3836"/>
      <c r="Z83" s="2808" t="s">
        <v>6775</v>
      </c>
      <c r="AA83" s="1787">
        <v>83</v>
      </c>
    </row>
    <row r="84" spans="1:27" ht="13.35" customHeight="1">
      <c r="A84" s="409" t="s">
        <v>4014</v>
      </c>
      <c r="B84" s="22">
        <f t="shared" ref="B84:K84" si="36">SUM(B79:B83)</f>
        <v>800579.20671264501</v>
      </c>
      <c r="C84" s="22">
        <f t="shared" si="36"/>
        <v>816590.79084689775</v>
      </c>
      <c r="D84" s="22">
        <f t="shared" si="36"/>
        <v>832922.6066638357</v>
      </c>
      <c r="E84" s="22">
        <f t="shared" si="36"/>
        <v>849581.05879711232</v>
      </c>
      <c r="F84" s="22">
        <f t="shared" si="36"/>
        <v>866572.67997305468</v>
      </c>
      <c r="G84" s="22">
        <f t="shared" si="36"/>
        <v>883904.13357251568</v>
      </c>
      <c r="H84" s="22">
        <f t="shared" si="36"/>
        <v>901582.21624396613</v>
      </c>
      <c r="I84" s="22">
        <f t="shared" si="36"/>
        <v>919613.8605688453</v>
      </c>
      <c r="J84" s="22">
        <f t="shared" si="36"/>
        <v>938006.13778022234</v>
      </c>
      <c r="K84" s="23">
        <f t="shared" si="36"/>
        <v>956766.26053582667</v>
      </c>
      <c r="N84" s="3834"/>
      <c r="O84" s="3836"/>
      <c r="Z84" s="2808" t="s">
        <v>6775</v>
      </c>
      <c r="AA84" s="1788">
        <v>84</v>
      </c>
    </row>
    <row r="85" spans="1:27" ht="13.35" customHeight="1">
      <c r="A85" s="21" t="s">
        <v>585</v>
      </c>
      <c r="B85" s="22">
        <f t="shared" ref="B85:K85" si="37">$B$21*(1+$B$7)^(B78-1)</f>
        <v>-552579.73224710696</v>
      </c>
      <c r="C85" s="22">
        <f t="shared" si="37"/>
        <v>-569157.1242145201</v>
      </c>
      <c r="D85" s="22">
        <f t="shared" si="37"/>
        <v>-586231.83794095577</v>
      </c>
      <c r="E85" s="22">
        <f t="shared" si="37"/>
        <v>-603818.79307918448</v>
      </c>
      <c r="F85" s="22">
        <f t="shared" si="37"/>
        <v>-621933.35687155998</v>
      </c>
      <c r="G85" s="22">
        <f t="shared" si="37"/>
        <v>-640591.35757770669</v>
      </c>
      <c r="H85" s="22">
        <f t="shared" si="37"/>
        <v>-659809.09830503806</v>
      </c>
      <c r="I85" s="22">
        <f t="shared" si="37"/>
        <v>-679603.37125418906</v>
      </c>
      <c r="J85" s="22">
        <f t="shared" si="37"/>
        <v>-699991.47239181481</v>
      </c>
      <c r="K85" s="23">
        <f t="shared" si="37"/>
        <v>-720991.21656356915</v>
      </c>
      <c r="N85" s="3834"/>
      <c r="O85" s="3836"/>
      <c r="Z85" s="2808"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-53519</v>
      </c>
      <c r="C86" s="22">
        <f>IF(AND('Part VII-Pro Forma'!$G$9="Yes",'Part VII-Pro Forma'!$G$10="Yes"),"Choose One!",IF('Part VII-Pro Forma'!$G$9="Yes",ROUND((-$K$9*(1+'Part VII-Pro Forma'!$B$7)^('Part VII-Pro Forma'!C78-1)),),IF('Part VII-Pro Forma'!$G$10="Yes",ROUND((-(SUM(C79:C82)*'Part VII-Pro Forma'!$K$10)),),"Choose mgt fee")))</f>
        <v>-55124</v>
      </c>
      <c r="D86" s="22">
        <f>IF(AND('Part VII-Pro Forma'!$G$9="Yes",'Part VII-Pro Forma'!$G$10="Yes"),"Choose One!",IF('Part VII-Pro Forma'!$G$9="Yes",ROUND((-$K$9*(1+'Part VII-Pro Forma'!$B$7)^('Part VII-Pro Forma'!D78-1)),),IF('Part VII-Pro Forma'!$G$10="Yes",ROUND((-(SUM(D79:D82)*'Part VII-Pro Forma'!$K$10)),),"Choose mgt fee")))</f>
        <v>-56778</v>
      </c>
      <c r="E86" s="22">
        <f>IF(AND('Part VII-Pro Forma'!$G$9="Yes",'Part VII-Pro Forma'!$G$10="Yes"),"Choose One!",IF('Part VII-Pro Forma'!$G$9="Yes",ROUND((-$K$9*(1+'Part VII-Pro Forma'!$B$7)^('Part VII-Pro Forma'!E78-1)),),IF('Part VII-Pro Forma'!$G$10="Yes",ROUND((-(SUM(E79:E82)*'Part VII-Pro Forma'!$K$10)),),"Choose mgt fee")))</f>
        <v>-58481</v>
      </c>
      <c r="F86" s="22">
        <f>IF(AND('Part VII-Pro Forma'!$G$9="Yes",'Part VII-Pro Forma'!$G$10="Yes"),"Choose One!",IF('Part VII-Pro Forma'!$G$9="Yes",ROUND((-$K$9*(1+'Part VII-Pro Forma'!$B$7)^('Part VII-Pro Forma'!F78-1)),),IF('Part VII-Pro Forma'!$G$10="Yes",ROUND((-(SUM(F79:F82)*'Part VII-Pro Forma'!$K$10)),),"Choose mgt fee")))</f>
        <v>-60236</v>
      </c>
      <c r="G86" s="22">
        <f>IF(AND('Part VII-Pro Forma'!$G$9="Yes",'Part VII-Pro Forma'!$G$10="Yes"),"Choose One!",IF('Part VII-Pro Forma'!$G$9="Yes",ROUND((-$K$9*(1+'Part VII-Pro Forma'!$B$7)^('Part VII-Pro Forma'!G78-1)),),IF('Part VII-Pro Forma'!$G$10="Yes",ROUND((-(SUM(G79:G82)*'Part VII-Pro Forma'!$K$10)),),"Choose mgt fee")))</f>
        <v>-62043</v>
      </c>
      <c r="H86" s="22">
        <f>IF(AND('Part VII-Pro Forma'!$G$9="Yes",'Part VII-Pro Forma'!$G$10="Yes"),"Choose One!",IF('Part VII-Pro Forma'!$G$9="Yes",ROUND((-$K$9*(1+'Part VII-Pro Forma'!$B$7)^('Part VII-Pro Forma'!H78-1)),),IF('Part VII-Pro Forma'!$G$10="Yes",ROUND((-(SUM(H79:H82)*'Part VII-Pro Forma'!$K$10)),),"Choose mgt fee")))</f>
        <v>-63904</v>
      </c>
      <c r="I86" s="22">
        <f>IF(AND('Part VII-Pro Forma'!$G$9="Yes",'Part VII-Pro Forma'!$G$10="Yes"),"Choose One!",IF('Part VII-Pro Forma'!$G$9="Yes",ROUND((-$K$9*(1+'Part VII-Pro Forma'!$B$7)^('Part VII-Pro Forma'!I78-1)),),IF('Part VII-Pro Forma'!$G$10="Yes",ROUND((-(SUM(I79:I82)*'Part VII-Pro Forma'!$K$10)),),"Choose mgt fee")))</f>
        <v>-65821</v>
      </c>
      <c r="J86" s="22">
        <f>IF(AND('Part VII-Pro Forma'!$G$9="Yes",'Part VII-Pro Forma'!$G$10="Yes"),"Choose One!",IF('Part VII-Pro Forma'!$G$9="Yes",ROUND((-$K$9*(1+'Part VII-Pro Forma'!$B$7)^('Part VII-Pro Forma'!J78-1)),),IF('Part VII-Pro Forma'!$G$10="Yes",ROUND((-(SUM(J79:J82)*'Part VII-Pro Forma'!$K$10)),),"Choose mgt fee")))</f>
        <v>-67796</v>
      </c>
      <c r="K86" s="23">
        <f>IF(AND('Part VII-Pro Forma'!$G$9="Yes",'Part VII-Pro Forma'!$G$10="Yes"),"Choose One!",IF('Part VII-Pro Forma'!$G$9="Yes",ROUND((-$K$9*(1+'Part VII-Pro Forma'!$B$7)^('Part VII-Pro Forma'!K78-1)),),IF('Part VII-Pro Forma'!$G$10="Yes",ROUND((-(SUM(K79:K82)*'Part VII-Pro Forma'!$K$10)),),"Choose mgt fee")))</f>
        <v>-69830</v>
      </c>
      <c r="N86" s="3834"/>
      <c r="O86" s="3836"/>
      <c r="Z86" s="2808" t="s">
        <v>6775</v>
      </c>
      <c r="AA86" s="1788">
        <v>86</v>
      </c>
    </row>
    <row r="87" spans="1:27" ht="13.35" customHeight="1">
      <c r="A87" s="21" t="s">
        <v>1156</v>
      </c>
      <c r="B87" s="22">
        <f t="shared" ref="B87:K87" si="38">$B$23*(1+$B$8)^(B78-1)</f>
        <v>-32510.00222404944</v>
      </c>
      <c r="C87" s="22">
        <f t="shared" si="38"/>
        <v>-33485.302290770916</v>
      </c>
      <c r="D87" s="22">
        <f t="shared" si="38"/>
        <v>-34489.861359494047</v>
      </c>
      <c r="E87" s="22">
        <f t="shared" si="38"/>
        <v>-35524.557200278869</v>
      </c>
      <c r="F87" s="22">
        <f t="shared" si="38"/>
        <v>-36590.293916287235</v>
      </c>
      <c r="G87" s="22">
        <f t="shared" si="38"/>
        <v>-37688.002733775851</v>
      </c>
      <c r="H87" s="22">
        <f t="shared" si="38"/>
        <v>-38818.642815789128</v>
      </c>
      <c r="I87" s="22">
        <f t="shared" si="38"/>
        <v>-39983.202100262803</v>
      </c>
      <c r="J87" s="22">
        <f t="shared" si="38"/>
        <v>-41182.698163270681</v>
      </c>
      <c r="K87" s="23">
        <f t="shared" si="38"/>
        <v>-42418.179108168799</v>
      </c>
      <c r="N87" s="3834"/>
      <c r="O87" s="3836"/>
      <c r="Q87" s="847">
        <v>10</v>
      </c>
      <c r="R87" s="945">
        <f>-SUM(B93:K93)</f>
        <v>0</v>
      </c>
      <c r="S87" s="945">
        <f>SUM(B94:K94)+R87</f>
        <v>0</v>
      </c>
      <c r="Z87" s="2808" t="s">
        <v>6775</v>
      </c>
      <c r="AA87" s="1788">
        <v>87</v>
      </c>
    </row>
    <row r="88" spans="1:27" ht="13.35" customHeight="1">
      <c r="A88" s="409" t="s">
        <v>4013</v>
      </c>
      <c r="B88" s="2944">
        <f>IF(B78&lt;=+'Part VI-Revenues &amp; Expenses'!$N$248,-'Part VI-Revenues &amp; Expenses'!$K$248,0)</f>
        <v>0</v>
      </c>
      <c r="C88" s="2944">
        <f>IF(C78&lt;=+'Part VI-Revenues &amp; Expenses'!$N$248,-'Part VI-Revenues &amp; Expenses'!$K$248,0)</f>
        <v>0</v>
      </c>
      <c r="D88" s="2944">
        <f>IF(D78&lt;=+'Part VI-Revenues &amp; Expenses'!$N$248,-'Part VI-Revenues &amp; Expenses'!$K$248,0)</f>
        <v>0</v>
      </c>
      <c r="E88" s="2944">
        <f>IF(E78&lt;=+'Part VI-Revenues &amp; Expenses'!$N$248,-'Part VI-Revenues &amp; Expenses'!$K$248,0)</f>
        <v>0</v>
      </c>
      <c r="F88" s="2944">
        <f>IF(F78&lt;=+'Part VI-Revenues &amp; Expenses'!$N$248,-'Part VI-Revenues &amp; Expenses'!$K$248,0)</f>
        <v>0</v>
      </c>
      <c r="G88" s="2944">
        <f>IF(G78&lt;=+'Part VI-Revenues &amp; Expenses'!$N$248,-'Part VI-Revenues &amp; Expenses'!$K$248,0)</f>
        <v>0</v>
      </c>
      <c r="H88" s="2944">
        <f>IF(H78&lt;=+'Part VI-Revenues &amp; Expenses'!$N$248,-'Part VI-Revenues &amp; Expenses'!$K$248,0)</f>
        <v>0</v>
      </c>
      <c r="I88" s="2944">
        <f>IF(I78&lt;=+'Part VI-Revenues &amp; Expenses'!$N$248,-'Part VI-Revenues &amp; Expenses'!$K$248,0)</f>
        <v>0</v>
      </c>
      <c r="J88" s="2944">
        <f>IF(J78&lt;=+'Part VI-Revenues &amp; Expenses'!$N$248,-'Part VI-Revenues &amp; Expenses'!$K$248,0)</f>
        <v>0</v>
      </c>
      <c r="K88" s="2944">
        <f>IF(K78&lt;=+'Part VI-Revenues &amp; Expenses'!$N$248,-'Part VI-Revenues &amp; Expenses'!$K$248,0)</f>
        <v>0</v>
      </c>
      <c r="N88" s="3834"/>
      <c r="O88" s="3836"/>
      <c r="Z88" s="2808" t="s">
        <v>6775</v>
      </c>
      <c r="AA88" s="1788">
        <v>88</v>
      </c>
    </row>
    <row r="89" spans="1:27" ht="13.35" customHeight="1">
      <c r="A89" s="21" t="s">
        <v>1157</v>
      </c>
      <c r="B89" s="22">
        <f t="shared" ref="B89:K89" si="39">SUM(B84:B88)</f>
        <v>161970.47224148861</v>
      </c>
      <c r="C89" s="22">
        <f t="shared" si="39"/>
        <v>158824.36434160674</v>
      </c>
      <c r="D89" s="22">
        <f t="shared" si="39"/>
        <v>155422.90736338589</v>
      </c>
      <c r="E89" s="22">
        <f t="shared" si="39"/>
        <v>151756.70851764898</v>
      </c>
      <c r="F89" s="22">
        <f t="shared" si="39"/>
        <v>147813.02918520744</v>
      </c>
      <c r="G89" s="22">
        <f t="shared" si="39"/>
        <v>143581.77326103314</v>
      </c>
      <c r="H89" s="22">
        <f t="shared" si="39"/>
        <v>139050.47512313895</v>
      </c>
      <c r="I89" s="22">
        <f t="shared" si="39"/>
        <v>134206.28721439344</v>
      </c>
      <c r="J89" s="22">
        <f t="shared" si="39"/>
        <v>129035.96722513685</v>
      </c>
      <c r="K89" s="1299">
        <f t="shared" si="39"/>
        <v>123526.86486408873</v>
      </c>
      <c r="N89" s="3834"/>
      <c r="O89" s="3836"/>
      <c r="Z89" s="2808" t="s">
        <v>6775</v>
      </c>
      <c r="AA89" s="1788">
        <v>89</v>
      </c>
    </row>
    <row r="90" spans="1:27" ht="13.35" customHeight="1">
      <c r="A90" s="21" t="str">
        <f>$A58</f>
        <v>Mortgage A</v>
      </c>
      <c r="B90" s="2945">
        <f>IF('Part III-Sources of Funds'!$P$40="", 0,-'Part III-Sources of Funds'!$P$40)</f>
        <v>-141266.50429738068</v>
      </c>
      <c r="C90" s="2945">
        <f>IF('Part III-Sources of Funds'!$P$40="", 0,-'Part III-Sources of Funds'!$P$40)</f>
        <v>-141266.50429738068</v>
      </c>
      <c r="D90" s="2945">
        <f>IF('Part III-Sources of Funds'!$P$40="", 0,-'Part III-Sources of Funds'!$P$40)</f>
        <v>-141266.50429738068</v>
      </c>
      <c r="E90" s="2945">
        <f>IF('Part III-Sources of Funds'!$P$40="", 0,-'Part III-Sources of Funds'!$P$40)</f>
        <v>-141266.50429738068</v>
      </c>
      <c r="F90" s="2945">
        <f>IF('Part III-Sources of Funds'!$P$40="", 0,-'Part III-Sources of Funds'!$P$40)</f>
        <v>-141266.50429738068</v>
      </c>
      <c r="G90" s="2945">
        <f>IF('Part III-Sources of Funds'!$P$40="", 0,-'Part III-Sources of Funds'!$P$40)</f>
        <v>-141266.50429738068</v>
      </c>
      <c r="H90" s="2945">
        <f>IF('Part III-Sources of Funds'!$P$40="", 0,-'Part III-Sources of Funds'!$P$40)</f>
        <v>-141266.50429738068</v>
      </c>
      <c r="I90" s="2945">
        <f>IF('Part III-Sources of Funds'!$P$40="", 0,-'Part III-Sources of Funds'!$P$40)</f>
        <v>-141266.50429738068</v>
      </c>
      <c r="J90" s="2945">
        <f>IF('Part III-Sources of Funds'!$P$40="", 0,-'Part III-Sources of Funds'!$P$40)</f>
        <v>-141266.50429738068</v>
      </c>
      <c r="K90" s="2945">
        <f>IF('Part III-Sources of Funds'!$P$40="", 0,-'Part III-Sources of Funds'!$P$40)</f>
        <v>-141266.50429738068</v>
      </c>
      <c r="N90" s="3834"/>
      <c r="O90" s="3836"/>
      <c r="Z90" s="2808" t="s">
        <v>6775</v>
      </c>
      <c r="AA90" s="1788">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34"/>
      <c r="O91" s="3836"/>
      <c r="Z91" s="2808" t="s">
        <v>6775</v>
      </c>
      <c r="AA91" s="1788">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34"/>
      <c r="O92" s="3836"/>
      <c r="Z92" s="2808" t="s">
        <v>6775</v>
      </c>
      <c r="AA92" s="1787">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34"/>
      <c r="O93" s="3836"/>
      <c r="Z93" s="2808" t="s">
        <v>6775</v>
      </c>
      <c r="AA93" s="1788">
        <v>93</v>
      </c>
    </row>
    <row r="94" spans="1:27" ht="13.35" customHeight="1">
      <c r="A94" s="21" t="s">
        <v>733</v>
      </c>
      <c r="B94" s="2947"/>
      <c r="C94" s="2947"/>
      <c r="D94" s="2947"/>
      <c r="E94" s="2947"/>
      <c r="F94" s="2947"/>
      <c r="G94" s="2947"/>
      <c r="H94" s="2947"/>
      <c r="I94" s="2947"/>
      <c r="J94" s="2947"/>
      <c r="K94" s="2947"/>
      <c r="N94" s="3834"/>
      <c r="O94" s="3836"/>
      <c r="Z94" s="2808" t="s">
        <v>6775</v>
      </c>
      <c r="AA94" s="1788">
        <v>94</v>
      </c>
    </row>
    <row r="95" spans="1:27" ht="13.35" customHeight="1">
      <c r="A95" s="409" t="s">
        <v>1121</v>
      </c>
      <c r="B95" s="2949">
        <f>K63*1.03</f>
        <v>-13004.000889619785</v>
      </c>
      <c r="C95" s="2949">
        <f>B95*1.03</f>
        <v>-13394.120916308379</v>
      </c>
      <c r="D95" s="2949">
        <f t="shared" ref="D95:J95" si="40">C95*1.03</f>
        <v>-13795.94454379763</v>
      </c>
      <c r="E95" s="2949">
        <f t="shared" si="40"/>
        <v>-14209.82288011156</v>
      </c>
      <c r="F95" s="2949">
        <f t="shared" si="40"/>
        <v>-14636.117566514908</v>
      </c>
      <c r="G95" s="2949">
        <f t="shared" si="40"/>
        <v>-15075.201093510355</v>
      </c>
      <c r="H95" s="2949">
        <f t="shared" si="40"/>
        <v>-15527.457126315667</v>
      </c>
      <c r="I95" s="2949">
        <f t="shared" si="40"/>
        <v>-15993.280840105137</v>
      </c>
      <c r="J95" s="2949">
        <f t="shared" si="40"/>
        <v>-16473.07926530829</v>
      </c>
      <c r="K95" s="2949">
        <f>J95*1.03</f>
        <v>-16967.271643267541</v>
      </c>
      <c r="N95" s="3834"/>
      <c r="O95" s="3836"/>
      <c r="Z95" s="2808" t="s">
        <v>6775</v>
      </c>
      <c r="AA95" s="1788">
        <v>95</v>
      </c>
    </row>
    <row r="96" spans="1:27" ht="13.35" customHeight="1">
      <c r="A96" s="21" t="s">
        <v>1122</v>
      </c>
      <c r="B96" s="22">
        <f t="shared" ref="B96:K96" si="41">SUM(B89:B95)</f>
        <v>7699.9670544881355</v>
      </c>
      <c r="C96" s="22">
        <f t="shared" si="41"/>
        <v>4163.7391279176718</v>
      </c>
      <c r="D96" s="22">
        <f t="shared" si="41"/>
        <v>360.45852220757843</v>
      </c>
      <c r="E96" s="22">
        <f t="shared" si="41"/>
        <v>-3719.6186598432669</v>
      </c>
      <c r="F96" s="22">
        <f t="shared" si="41"/>
        <v>-8089.5926786881482</v>
      </c>
      <c r="G96" s="22">
        <f t="shared" si="41"/>
        <v>-12759.932129857896</v>
      </c>
      <c r="H96" s="22">
        <f t="shared" si="41"/>
        <v>-17743.486300557401</v>
      </c>
      <c r="I96" s="22">
        <f t="shared" si="41"/>
        <v>-23053.497923092385</v>
      </c>
      <c r="J96" s="22">
        <f t="shared" si="41"/>
        <v>-28703.616337552128</v>
      </c>
      <c r="K96" s="23">
        <f t="shared" si="41"/>
        <v>-34706.911076559496</v>
      </c>
      <c r="N96" s="3834"/>
      <c r="O96" s="3836"/>
      <c r="Z96" s="2808" t="s">
        <v>6775</v>
      </c>
      <c r="AA96" s="1788">
        <v>96</v>
      </c>
    </row>
    <row r="97" spans="1:27" ht="13.35" customHeight="1">
      <c r="A97" s="21" t="str">
        <f>$A66</f>
        <v>DCR Mortgage A</v>
      </c>
      <c r="B97" s="24">
        <f t="shared" ref="B97:K97" si="42">IF(B90=0,"",-B89/B90)</f>
        <v>1.146559639506078</v>
      </c>
      <c r="C97" s="24">
        <f t="shared" si="42"/>
        <v>1.1242889114553647</v>
      </c>
      <c r="D97" s="24">
        <f t="shared" si="42"/>
        <v>1.1002106135238152</v>
      </c>
      <c r="E97" s="24">
        <f t="shared" si="42"/>
        <v>1.0742582558579161</v>
      </c>
      <c r="F97" s="24">
        <f t="shared" si="42"/>
        <v>1.0463416640794454</v>
      </c>
      <c r="G97" s="24">
        <f t="shared" si="42"/>
        <v>1.0163893696893538</v>
      </c>
      <c r="H97" s="24">
        <f t="shared" si="42"/>
        <v>0.98431313080716742</v>
      </c>
      <c r="I97" s="24">
        <f t="shared" si="42"/>
        <v>0.95002200190269626</v>
      </c>
      <c r="J97" s="24">
        <f t="shared" si="42"/>
        <v>0.91342224306409336</v>
      </c>
      <c r="K97" s="25">
        <f t="shared" si="42"/>
        <v>0.87442430517040204</v>
      </c>
      <c r="N97" s="3834"/>
      <c r="O97" s="3836"/>
      <c r="Z97" s="2808"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4"/>
      <c r="O98" s="3836"/>
      <c r="Z98" s="2808"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4"/>
      <c r="O99" s="3836"/>
      <c r="Z99" s="2808"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4"/>
      <c r="O100" s="3836"/>
      <c r="Z100" s="2808" t="s">
        <v>6775</v>
      </c>
      <c r="AA100" s="1787">
        <v>100</v>
      </c>
    </row>
    <row r="101" spans="1:27" ht="13.35" customHeight="1">
      <c r="A101" s="409" t="s">
        <v>3343</v>
      </c>
      <c r="B101" s="24">
        <f t="shared" ref="B101:K101" si="46">IF(AND(B90=0,B91=0,B92=0,B93=0),"",-B89/(B90+B91+B92+B93))</f>
        <v>1.146559639506078</v>
      </c>
      <c r="C101" s="24">
        <f t="shared" si="46"/>
        <v>1.1242889114553647</v>
      </c>
      <c r="D101" s="24">
        <f t="shared" si="46"/>
        <v>1.1002106135238152</v>
      </c>
      <c r="E101" s="24">
        <f t="shared" si="46"/>
        <v>1.0742582558579161</v>
      </c>
      <c r="F101" s="24">
        <f t="shared" si="46"/>
        <v>1.0463416640794454</v>
      </c>
      <c r="G101" s="24">
        <f t="shared" si="46"/>
        <v>1.0163893696893538</v>
      </c>
      <c r="H101" s="24">
        <f t="shared" si="46"/>
        <v>0.98431313080716742</v>
      </c>
      <c r="I101" s="24">
        <f t="shared" si="46"/>
        <v>0.95002200190269626</v>
      </c>
      <c r="J101" s="24">
        <f t="shared" si="46"/>
        <v>0.91342224306409336</v>
      </c>
      <c r="K101" s="25">
        <f t="shared" si="46"/>
        <v>0.87442430517040204</v>
      </c>
      <c r="N101" s="3834"/>
      <c r="O101" s="3836"/>
      <c r="Z101" s="2808" t="s">
        <v>6775</v>
      </c>
      <c r="AA101" s="1788">
        <v>101</v>
      </c>
    </row>
    <row r="102" spans="1:27" ht="13.35" customHeight="1">
      <c r="A102" s="21" t="s">
        <v>740</v>
      </c>
      <c r="B102" s="263">
        <f>IF(OR(B86="Choose mgt fee",B86="Choose One!"),"",(B79+B80+B81+B82+B83) / -(B85+B86+B87))</f>
        <v>1.2536302175315834</v>
      </c>
      <c r="C102" s="263">
        <f t="shared" ref="C102:K102" si="47">IF(OR(C86="Choose mgt fee",C86="Choose One!"),"",(C79+C80+C81+C82+C83) / -(C85+C86+C87))</f>
        <v>1.2414601261810208</v>
      </c>
      <c r="D102" s="263">
        <f t="shared" si="47"/>
        <v>1.2294066071525453</v>
      </c>
      <c r="E102" s="263">
        <f t="shared" si="47"/>
        <v>1.2174712138618748</v>
      </c>
      <c r="F102" s="263">
        <f t="shared" si="47"/>
        <v>1.2056501488685216</v>
      </c>
      <c r="G102" s="263">
        <f t="shared" si="47"/>
        <v>1.1939449366362818</v>
      </c>
      <c r="H102" s="263">
        <f t="shared" si="47"/>
        <v>1.1823536878855063</v>
      </c>
      <c r="I102" s="263">
        <f t="shared" si="47"/>
        <v>1.1708747047615067</v>
      </c>
      <c r="J102" s="263">
        <f t="shared" si="47"/>
        <v>1.1595064588557042</v>
      </c>
      <c r="K102" s="264">
        <f t="shared" si="47"/>
        <v>1.1482489492284558</v>
      </c>
      <c r="N102" s="3834"/>
      <c r="O102" s="3836"/>
      <c r="Z102" s="2808" t="s">
        <v>6775</v>
      </c>
      <c r="AA102" s="1788">
        <v>102</v>
      </c>
    </row>
    <row r="103" spans="1:27" ht="13.35" customHeight="1">
      <c r="A103" s="409" t="s">
        <v>2493</v>
      </c>
      <c r="B103" s="2950">
        <f>IF('Part III-Sources of Funds'!$I$40="","",-FV('Part III-Sources of Funds'!$K$40/12,12,B90/12,K72))</f>
        <v>1407133.6929097078</v>
      </c>
      <c r="C103" s="2950">
        <f>IF('Part III-Sources of Funds'!$I$40="","",-FV('Part III-Sources of Funds'!$K$40/12,12,C90/12,B103))</f>
        <v>1336687.1705984056</v>
      </c>
      <c r="D103" s="2950">
        <f>IF('Part III-Sources of Funds'!$I$40="","",-FV('Part III-Sources of Funds'!$K$40/12,12,D90/12,C103))</f>
        <v>1262525.7795890255</v>
      </c>
      <c r="E103" s="2950">
        <f>IF('Part III-Sources of Funds'!$I$40="","",-FV('Part III-Sources of Funds'!$K$40/12,12,E90/12,D103))</f>
        <v>1184453.6230652139</v>
      </c>
      <c r="F103" s="2950">
        <f>IF('Part III-Sources of Funds'!$I$40="","",-FV('Part III-Sources of Funds'!$K$40/12,12,F90/12,E103))</f>
        <v>1102264.4739497721</v>
      </c>
      <c r="G103" s="2950">
        <f>IF('Part III-Sources of Funds'!$I$40="","",-FV('Part III-Sources of Funds'!$K$40/12,12,G90/12,F103))</f>
        <v>1015741.230157216</v>
      </c>
      <c r="H103" s="2950">
        <f>IF('Part III-Sources of Funds'!$I$40="","",-FV('Part III-Sources of Funds'!$K$40/12,12,H90/12,G103))</f>
        <v>924655.34112007602</v>
      </c>
      <c r="I103" s="2950">
        <f>IF('Part III-Sources of Funds'!$I$40="","",-FV('Part III-Sources of Funds'!$K$40/12,12,I90/12,H103))</f>
        <v>828766.20407410734</v>
      </c>
      <c r="J103" s="2950">
        <f>IF('Part III-Sources of Funds'!$I$40="","",-FV('Part III-Sources of Funds'!$K$40/12,12,J90/12,I103))</f>
        <v>727820.5285077038</v>
      </c>
      <c r="K103" s="2950">
        <f>IF('Part III-Sources of Funds'!$I$40="","",-FV('Part III-Sources of Funds'!$K$40/12,12,K90/12,J103))</f>
        <v>621551.66709671239</v>
      </c>
      <c r="N103" s="3834"/>
      <c r="O103" s="3836"/>
      <c r="Z103" s="2808" t="s">
        <v>6775</v>
      </c>
      <c r="AA103" s="1788">
        <v>103</v>
      </c>
    </row>
    <row r="104" spans="1:27" ht="13.35" customHeight="1">
      <c r="A104" s="409" t="s">
        <v>2494</v>
      </c>
      <c r="B104" s="2946" t="str">
        <f>IF('Part III-Sources of Funds'!$I$41="","",-FV('Part III-Sources of Funds'!$K$41/12,12,B91/12,K73))</f>
        <v/>
      </c>
      <c r="C104" s="2946" t="str">
        <f>IF('Part III-Sources of Funds'!$I$41="","",-FV('Part III-Sources of Funds'!$K$41/12,12,C91/12,B104))</f>
        <v/>
      </c>
      <c r="D104" s="2946" t="str">
        <f>IF('Part III-Sources of Funds'!$I$41="","",-FV('Part III-Sources of Funds'!$K$41/12,12,D91/12,C104))</f>
        <v/>
      </c>
      <c r="E104" s="2946" t="str">
        <f>IF('Part III-Sources of Funds'!$I$41="","",-FV('Part III-Sources of Funds'!$K$41/12,12,E91/12,D104))</f>
        <v/>
      </c>
      <c r="F104" s="2946" t="str">
        <f>IF('Part III-Sources of Funds'!$I$41="","",-FV('Part III-Sources of Funds'!$K$41/12,12,F91/12,E104))</f>
        <v/>
      </c>
      <c r="G104" s="2946" t="str">
        <f>IF('Part III-Sources of Funds'!$I$41="","",-FV('Part III-Sources of Funds'!$K$41/12,12,G91/12,F104))</f>
        <v/>
      </c>
      <c r="H104" s="2946" t="str">
        <f>IF('Part III-Sources of Funds'!$I$41="","",-FV('Part III-Sources of Funds'!$K$41/12,12,H91/12,G104))</f>
        <v/>
      </c>
      <c r="I104" s="2946" t="str">
        <f>IF('Part III-Sources of Funds'!$I$41="","",-FV('Part III-Sources of Funds'!$K$41/12,12,I91/12,H104))</f>
        <v/>
      </c>
      <c r="J104" s="2946" t="str">
        <f>IF('Part III-Sources of Funds'!$I$41="","",-FV('Part III-Sources of Funds'!$K$41/12,12,J91/12,I104))</f>
        <v/>
      </c>
      <c r="K104" s="2946" t="str">
        <f>IF('Part III-Sources of Funds'!$I$41="","",-FV('Part III-Sources of Funds'!$K$41/12,12,K91/12,J104))</f>
        <v/>
      </c>
      <c r="N104" s="3834"/>
      <c r="O104" s="3836"/>
      <c r="Z104" s="2808" t="s">
        <v>6775</v>
      </c>
      <c r="AA104" s="1788">
        <v>104</v>
      </c>
    </row>
    <row r="105" spans="1:27" ht="13.35" customHeight="1">
      <c r="A105" s="409" t="s">
        <v>2495</v>
      </c>
      <c r="B105" s="2946" t="str">
        <f>IF('Part III-Sources of Funds'!$I$42="","",-FV('Part III-Sources of Funds'!$K$42/12,12,B92/12,K74))</f>
        <v/>
      </c>
      <c r="C105" s="2946" t="str">
        <f>IF('Part III-Sources of Funds'!$I$42="","",-FV('Part III-Sources of Funds'!$K$42/12,12,C92/12,B105))</f>
        <v/>
      </c>
      <c r="D105" s="2946" t="str">
        <f>IF('Part III-Sources of Funds'!$I$42="","",-FV('Part III-Sources of Funds'!$K$42/12,12,D92/12,C105))</f>
        <v/>
      </c>
      <c r="E105" s="2946" t="str">
        <f>IF('Part III-Sources of Funds'!$I$42="","",-FV('Part III-Sources of Funds'!$K$42/12,12,E92/12,D105))</f>
        <v/>
      </c>
      <c r="F105" s="2946" t="str">
        <f>IF('Part III-Sources of Funds'!$I$42="","",-FV('Part III-Sources of Funds'!$K$42/12,12,F92/12,E105))</f>
        <v/>
      </c>
      <c r="G105" s="2946" t="str">
        <f>IF('Part III-Sources of Funds'!$I$42="","",-FV('Part III-Sources of Funds'!$K$42/12,12,G92/12,F105))</f>
        <v/>
      </c>
      <c r="H105" s="2946" t="str">
        <f>IF('Part III-Sources of Funds'!$I$42="","",-FV('Part III-Sources of Funds'!$K$42/12,12,H92/12,G105))</f>
        <v/>
      </c>
      <c r="I105" s="2946" t="str">
        <f>IF('Part III-Sources of Funds'!$I$42="","",-FV('Part III-Sources of Funds'!$K$42/12,12,I92/12,H105))</f>
        <v/>
      </c>
      <c r="J105" s="2946" t="str">
        <f>IF('Part III-Sources of Funds'!$I$42="","",-FV('Part III-Sources of Funds'!$K$42/12,12,J92/12,I105))</f>
        <v/>
      </c>
      <c r="K105" s="2946" t="str">
        <f>IF('Part III-Sources of Funds'!$I$42="","",-FV('Part III-Sources of Funds'!$K$42/12,12,K92/12,J105))</f>
        <v/>
      </c>
      <c r="N105" s="3834"/>
      <c r="O105" s="3836"/>
      <c r="Z105" s="2808" t="s">
        <v>6775</v>
      </c>
      <c r="AA105" s="1788">
        <v>105</v>
      </c>
    </row>
    <row r="106" spans="1:27" ht="13.35" customHeight="1">
      <c r="A106" s="21" t="s">
        <v>752</v>
      </c>
      <c r="B106" s="2949" t="str">
        <f>IF('Part III-Sources of Funds'!$I$43="","",-FV('Part III-Sources of Funds'!$K$43/12,12,B93/12,K75))</f>
        <v/>
      </c>
      <c r="C106" s="2949" t="str">
        <f>IF('Part III-Sources of Funds'!$I$43="","",-FV('Part III-Sources of Funds'!$K$43/12,12,C93/12,B106))</f>
        <v/>
      </c>
      <c r="D106" s="2949" t="str">
        <f>IF('Part III-Sources of Funds'!$I$43="","",-FV('Part III-Sources of Funds'!$K$43/12,12,D93/12,C106))</f>
        <v/>
      </c>
      <c r="E106" s="2949" t="str">
        <f>IF('Part III-Sources of Funds'!$I$43="","",-FV('Part III-Sources of Funds'!$K$43/12,12,E93/12,D106))</f>
        <v/>
      </c>
      <c r="F106" s="2949" t="str">
        <f>IF('Part III-Sources of Funds'!$I$43="","",-FV('Part III-Sources of Funds'!$K$43/12,12,F93/12,E106))</f>
        <v/>
      </c>
      <c r="G106" s="2949" t="str">
        <f>IF('Part III-Sources of Funds'!$I$43="","",-FV('Part III-Sources of Funds'!$K$43/12,12,G93/12,F106))</f>
        <v/>
      </c>
      <c r="H106" s="2949" t="str">
        <f>IF('Part III-Sources of Funds'!$I$43="","",-FV('Part III-Sources of Funds'!$K$43/12,12,H93/12,G106))</f>
        <v/>
      </c>
      <c r="I106" s="2949" t="str">
        <f>IF('Part III-Sources of Funds'!$I$43="","",-FV('Part III-Sources of Funds'!$K$43/12,12,I93/12,H106))</f>
        <v/>
      </c>
      <c r="J106" s="2949" t="str">
        <f>IF('Part III-Sources of Funds'!$I$43="","",-FV('Part III-Sources of Funds'!$K$43/12,12,J93/12,I106))</f>
        <v/>
      </c>
      <c r="K106" s="2949" t="str">
        <f>IF('Part III-Sources of Funds'!$I$43="","",-FV('Part III-Sources of Funds'!$K$43/12,12,K93/12,J106))</f>
        <v/>
      </c>
      <c r="N106" s="3840"/>
      <c r="O106" s="3842"/>
      <c r="Z106" s="2808"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9" t="s">
        <v>3334</v>
      </c>
      <c r="O108" s="3529"/>
      <c r="AA108" s="1788">
        <v>108</v>
      </c>
    </row>
    <row r="109" spans="1:27" ht="13.35" customHeight="1">
      <c r="A109" s="18" t="s">
        <v>2294</v>
      </c>
      <c r="B109" s="19">
        <f>$B$15*(1+$B$6)^(B108-1)</f>
        <v>1028780.9253073407</v>
      </c>
      <c r="C109" s="19">
        <f>$B$15*(1+$B$6)^(C108-1)</f>
        <v>1049356.5438134873</v>
      </c>
      <c r="D109" s="19">
        <f>$B$15*(1+$B$6)^(D108-1)</f>
        <v>1070343.6746897572</v>
      </c>
      <c r="E109" s="19">
        <f>$B$15*(1+$B$6)^(E108-1)</f>
        <v>1091750.5481835525</v>
      </c>
      <c r="F109" s="566">
        <f>$B$15*(1+$B$6)^(F108-1)</f>
        <v>1113585.5591472234</v>
      </c>
      <c r="G109" s="17"/>
      <c r="H109" s="17"/>
      <c r="I109" s="17"/>
      <c r="J109" s="17"/>
      <c r="K109" s="17"/>
      <c r="N109" s="3855"/>
      <c r="O109" s="3857"/>
      <c r="Z109" s="2808" t="s">
        <v>6776</v>
      </c>
      <c r="AA109" s="1787">
        <v>109</v>
      </c>
    </row>
    <row r="110" spans="1:27" ht="13.35" customHeight="1">
      <c r="A110" s="21" t="s">
        <v>977</v>
      </c>
      <c r="B110" s="22">
        <f>$B$16*(1+$B$6)^(B108-1)</f>
        <v>20575.618506146813</v>
      </c>
      <c r="C110" s="22">
        <f>$B$16*(1+$B$6)^(C108-1)</f>
        <v>20987.130876269744</v>
      </c>
      <c r="D110" s="22">
        <f>$B$16*(1+$B$6)^(D108-1)</f>
        <v>21406.873493795145</v>
      </c>
      <c r="E110" s="22">
        <f>$B$16*(1+$B$6)^(E108-1)</f>
        <v>21835.010963671048</v>
      </c>
      <c r="F110" s="23">
        <f>$B$16*(1+$B$6)^(F108-1)</f>
        <v>22271.711182944469</v>
      </c>
      <c r="G110" s="17"/>
      <c r="H110" s="17"/>
      <c r="I110" s="17"/>
      <c r="J110" s="17"/>
      <c r="K110" s="17"/>
      <c r="N110" s="3834"/>
      <c r="O110" s="3836"/>
      <c r="Z110" s="2808" t="s">
        <v>6776</v>
      </c>
      <c r="AA110" s="1788">
        <v>110</v>
      </c>
    </row>
    <row r="111" spans="1:27" ht="13.35" customHeight="1">
      <c r="A111" s="21" t="s">
        <v>2295</v>
      </c>
      <c r="B111" s="22">
        <f>-(B109+B110)*$B$9</f>
        <v>-73454.958066944135</v>
      </c>
      <c r="C111" s="22">
        <f>-(C109+C110)*$B$9</f>
        <v>-74924.057228282996</v>
      </c>
      <c r="D111" s="22">
        <f>-(D109+D110)*$B$9</f>
        <v>-76422.538372848663</v>
      </c>
      <c r="E111" s="22">
        <f>-(E109+E110)*$B$9</f>
        <v>-77950.989140305654</v>
      </c>
      <c r="F111" s="23">
        <f>-(F109+F110)*$B$9</f>
        <v>-79510.00892311176</v>
      </c>
      <c r="G111" s="17"/>
      <c r="H111" s="17"/>
      <c r="I111" s="17"/>
      <c r="J111" s="17"/>
      <c r="K111" s="17"/>
      <c r="N111" s="3834"/>
      <c r="O111" s="3836"/>
      <c r="Z111" s="2808"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4"/>
      <c r="O112" s="3836"/>
      <c r="Z112" s="2808"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4"/>
      <c r="O113" s="3836"/>
      <c r="Z113" s="2808" t="s">
        <v>6776</v>
      </c>
      <c r="AA113" s="1788">
        <v>113</v>
      </c>
    </row>
    <row r="114" spans="1:27" ht="13.35" customHeight="1">
      <c r="A114" s="409" t="s">
        <v>4014</v>
      </c>
      <c r="B114" s="22">
        <f>SUM(B109:B113)</f>
        <v>975901.58574654337</v>
      </c>
      <c r="C114" s="22">
        <f>SUM(C109:C113)</f>
        <v>995419.61746147391</v>
      </c>
      <c r="D114" s="22">
        <f>SUM(D109:D113)</f>
        <v>1015328.0098107036</v>
      </c>
      <c r="E114" s="22">
        <f>SUM(E109:E113)</f>
        <v>1035634.5700069179</v>
      </c>
      <c r="F114" s="23">
        <f>SUM(F109:F113)</f>
        <v>1056347.2614070561</v>
      </c>
      <c r="G114" s="17"/>
      <c r="H114" s="17"/>
      <c r="I114" s="17"/>
      <c r="J114" s="17"/>
      <c r="K114" s="17"/>
      <c r="N114" s="3834"/>
      <c r="O114" s="3836"/>
      <c r="Z114" s="2808" t="s">
        <v>6776</v>
      </c>
      <c r="AA114" s="1788">
        <v>114</v>
      </c>
    </row>
    <row r="115" spans="1:27" ht="13.35" customHeight="1">
      <c r="A115" s="21" t="s">
        <v>585</v>
      </c>
      <c r="B115" s="22">
        <f>$B$21*(1+$B$7)^(B108-1)</f>
        <v>-742620.95306047623</v>
      </c>
      <c r="C115" s="22">
        <f>$B$21*(1+$B$7)^(C108-1)</f>
        <v>-764899.58165229065</v>
      </c>
      <c r="D115" s="22">
        <f>$B$21*(1+$B$7)^(D108-1)</f>
        <v>-787846.56910185912</v>
      </c>
      <c r="E115" s="22">
        <f>$B$21*(1+$B$7)^(E108-1)</f>
        <v>-811481.96617491497</v>
      </c>
      <c r="F115" s="23">
        <f>$B$21*(1+$B$7)^(F108-1)</f>
        <v>-835826.42516016227</v>
      </c>
      <c r="G115" s="17"/>
      <c r="H115" s="17"/>
      <c r="I115" s="17"/>
      <c r="J115" s="17"/>
      <c r="K115" s="17"/>
      <c r="N115" s="3834"/>
      <c r="O115" s="3836"/>
      <c r="Z115" s="2808"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-71925</v>
      </c>
      <c r="C116" s="22">
        <f>IF(AND('Part VII-Pro Forma'!$G$9="Yes",'Part VII-Pro Forma'!$G$10="Yes"),"Choose One!",IF('Part VII-Pro Forma'!$G$9="Yes",ROUND((-$K$9*(1+'Part VII-Pro Forma'!$B$7)^('Part VII-Pro Forma'!C108-1)),),IF('Part VII-Pro Forma'!$G$10="Yes",ROUND((-(SUM(C109:C112)*'Part VII-Pro Forma'!$K$10)),),"Choose mgt fee")))</f>
        <v>-74082</v>
      </c>
      <c r="D116" s="22">
        <f>IF(AND('Part VII-Pro Forma'!$G$9="Yes",'Part VII-Pro Forma'!$G$10="Yes"),"Choose One!",IF('Part VII-Pro Forma'!$G$9="Yes",ROUND((-$K$9*(1+'Part VII-Pro Forma'!$B$7)^('Part VII-Pro Forma'!D108-1)),),IF('Part VII-Pro Forma'!$G$10="Yes",ROUND((-(SUM(D109:D112)*'Part VII-Pro Forma'!$K$10)),),"Choose mgt fee")))</f>
        <v>-76305</v>
      </c>
      <c r="E116" s="22">
        <f>IF(AND('Part VII-Pro Forma'!$G$9="Yes",'Part VII-Pro Forma'!$G$10="Yes"),"Choose One!",IF('Part VII-Pro Forma'!$G$9="Yes",ROUND((-$K$9*(1+'Part VII-Pro Forma'!$B$7)^('Part VII-Pro Forma'!E108-1)),),IF('Part VII-Pro Forma'!$G$10="Yes",ROUND((-(SUM(E109:E112)*'Part VII-Pro Forma'!$K$10)),),"Choose mgt fee")))</f>
        <v>-78594</v>
      </c>
      <c r="F116" s="23">
        <f>IF(AND('Part VII-Pro Forma'!$G$9="Yes",'Part VII-Pro Forma'!$G$10="Yes"),"Choose One!",IF('Part VII-Pro Forma'!$G$9="Yes",ROUND((-$K$9*(1+'Part VII-Pro Forma'!$B$7)^('Part VII-Pro Forma'!F108-1)),),IF('Part VII-Pro Forma'!$G$10="Yes",ROUND((-(SUM(F109:F112)*'Part VII-Pro Forma'!$K$10)),),"Choose mgt fee")))</f>
        <v>-80952</v>
      </c>
      <c r="G116" s="17"/>
      <c r="H116" s="17"/>
      <c r="I116" s="17"/>
      <c r="J116" s="17"/>
      <c r="K116" s="17"/>
      <c r="N116" s="3834"/>
      <c r="O116" s="3836"/>
      <c r="Z116" s="2808" t="s">
        <v>6776</v>
      </c>
      <c r="AA116" s="1788">
        <v>116</v>
      </c>
    </row>
    <row r="117" spans="1:27" ht="13.35" customHeight="1">
      <c r="A117" s="21" t="s">
        <v>1156</v>
      </c>
      <c r="B117" s="22">
        <f>$B$23*(1+$B$8)^(B108-1)</f>
        <v>-43690.724481413861</v>
      </c>
      <c r="C117" s="22">
        <f>$B$23*(1+$B$8)^(C108-1)</f>
        <v>-45001.446215856289</v>
      </c>
      <c r="D117" s="22">
        <f>$B$23*(1+$B$8)^(D108-1)</f>
        <v>-46351.489602331967</v>
      </c>
      <c r="E117" s="22">
        <f>$B$23*(1+$B$8)^(E108-1)</f>
        <v>-47742.034290401927</v>
      </c>
      <c r="F117" s="23">
        <f>$B$23*(1+$B$8)^(F108-1)</f>
        <v>-49174.295319113975</v>
      </c>
      <c r="G117" s="17"/>
      <c r="H117" s="17"/>
      <c r="I117" s="17"/>
      <c r="J117" s="17"/>
      <c r="K117" s="17"/>
      <c r="N117" s="3834"/>
      <c r="O117" s="3836"/>
      <c r="Q117" s="847">
        <v>10</v>
      </c>
      <c r="R117" s="945">
        <f>-SUM(B123:K123)</f>
        <v>0</v>
      </c>
      <c r="S117" s="945">
        <f>SUM(B124:K124)+R117</f>
        <v>0</v>
      </c>
      <c r="Z117" s="2808" t="s">
        <v>6776</v>
      </c>
      <c r="AA117" s="1788">
        <v>117</v>
      </c>
    </row>
    <row r="118" spans="1:27" ht="13.35" customHeight="1">
      <c r="A118" s="409" t="s">
        <v>4013</v>
      </c>
      <c r="B118" s="2944">
        <f>IF(B108&lt;=+'Part VI-Revenues &amp; Expenses'!$N$248,-'Part VI-Revenues &amp; Expenses'!$K$248,0)</f>
        <v>0</v>
      </c>
      <c r="C118" s="2944">
        <f>IF(C108&lt;=+'Part VI-Revenues &amp; Expenses'!$N$248,-'Part VI-Revenues &amp; Expenses'!$K$248,0)</f>
        <v>0</v>
      </c>
      <c r="D118" s="2944">
        <f>IF(D108&lt;=+'Part VI-Revenues &amp; Expenses'!$N$248,-'Part VI-Revenues &amp; Expenses'!$K$248,0)</f>
        <v>0</v>
      </c>
      <c r="E118" s="2944">
        <f>IF(E108&lt;=+'Part VI-Revenues &amp; Expenses'!$N$248,-'Part VI-Revenues &amp; Expenses'!$K$248,0)</f>
        <v>0</v>
      </c>
      <c r="F118" s="2944">
        <f>IF(F108&lt;=+'Part VI-Revenues &amp; Expenses'!$N$248,-'Part VI-Revenues &amp; Expenses'!$K$248,0)</f>
        <v>0</v>
      </c>
      <c r="G118" s="17"/>
      <c r="H118" s="17"/>
      <c r="I118" s="17"/>
      <c r="J118" s="17"/>
      <c r="K118" s="17"/>
      <c r="N118" s="3834"/>
      <c r="O118" s="3836"/>
      <c r="Z118" s="2808" t="s">
        <v>6776</v>
      </c>
      <c r="AA118" s="1787">
        <v>118</v>
      </c>
    </row>
    <row r="119" spans="1:27" ht="13.35" customHeight="1">
      <c r="A119" s="21" t="s">
        <v>1157</v>
      </c>
      <c r="B119" s="22">
        <f>SUM(B114:B118)</f>
        <v>117664.90820465327</v>
      </c>
      <c r="C119" s="22">
        <f>SUM(C114:C118)</f>
        <v>111436.58959332696</v>
      </c>
      <c r="D119" s="22">
        <f>SUM(D114:D118)</f>
        <v>104824.95110651248</v>
      </c>
      <c r="E119" s="22">
        <f>SUM(E114:E118)</f>
        <v>97816.569541601028</v>
      </c>
      <c r="F119" s="1299">
        <f>SUM(F114:F118)</f>
        <v>90394.54092777989</v>
      </c>
      <c r="G119" s="17"/>
      <c r="H119" s="17"/>
      <c r="I119" s="17"/>
      <c r="J119" s="17"/>
      <c r="K119" s="17"/>
      <c r="N119" s="3834"/>
      <c r="O119" s="3836"/>
      <c r="Z119" s="2808" t="s">
        <v>6776</v>
      </c>
      <c r="AA119" s="1788">
        <v>119</v>
      </c>
    </row>
    <row r="120" spans="1:27" ht="13.35" customHeight="1">
      <c r="A120" s="21" t="str">
        <f>$A90</f>
        <v>Mortgage A</v>
      </c>
      <c r="B120" s="2945">
        <f>IF('Part III-Sources of Funds'!$P$40="", 0,-'Part III-Sources of Funds'!$P$40)</f>
        <v>-141266.50429738068</v>
      </c>
      <c r="C120" s="2945">
        <f>IF('Part III-Sources of Funds'!$P$40="", 0,-'Part III-Sources of Funds'!$P$40)</f>
        <v>-141266.50429738068</v>
      </c>
      <c r="D120" s="2945">
        <f>IF('Part III-Sources of Funds'!$P$40="", 0,-'Part III-Sources of Funds'!$P$40)</f>
        <v>-141266.50429738068</v>
      </c>
      <c r="E120" s="2945">
        <f>IF('Part III-Sources of Funds'!$P$40="", 0,-'Part III-Sources of Funds'!$P$40)</f>
        <v>-141266.50429738068</v>
      </c>
      <c r="F120" s="2945">
        <f>IF('Part III-Sources of Funds'!$P$40="", 0,-'Part III-Sources of Funds'!$P$40)</f>
        <v>-141266.50429738068</v>
      </c>
      <c r="G120" s="17"/>
      <c r="H120" s="17"/>
      <c r="I120" s="17"/>
      <c r="J120" s="17"/>
      <c r="K120" s="17"/>
      <c r="N120" s="3834"/>
      <c r="O120" s="3836"/>
      <c r="Z120" s="2808" t="s">
        <v>6776</v>
      </c>
      <c r="AA120" s="1788">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34"/>
      <c r="O121" s="3836"/>
      <c r="Z121" s="2808" t="s">
        <v>6776</v>
      </c>
      <c r="AA121" s="1788">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34"/>
      <c r="O122" s="3836"/>
      <c r="Z122" s="2808" t="s">
        <v>6776</v>
      </c>
      <c r="AA122" s="1788">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34"/>
      <c r="O123" s="3836"/>
      <c r="Z123" s="2808" t="s">
        <v>6776</v>
      </c>
      <c r="AA123" s="1787">
        <v>123</v>
      </c>
    </row>
    <row r="124" spans="1:27" ht="13.35" customHeight="1">
      <c r="A124" s="21" t="s">
        <v>733</v>
      </c>
      <c r="B124" s="2947"/>
      <c r="C124" s="2947"/>
      <c r="D124" s="2947"/>
      <c r="E124" s="2947"/>
      <c r="F124" s="2947"/>
      <c r="G124" s="17"/>
      <c r="H124" s="17"/>
      <c r="I124" s="17"/>
      <c r="J124" s="17"/>
      <c r="K124" s="17"/>
      <c r="N124" s="3834"/>
      <c r="O124" s="3836"/>
      <c r="Z124" s="2808" t="s">
        <v>6776</v>
      </c>
      <c r="AA124" s="1788">
        <v>124</v>
      </c>
    </row>
    <row r="125" spans="1:27" ht="13.35" customHeight="1">
      <c r="A125" s="21" t="s">
        <v>1121</v>
      </c>
      <c r="B125" s="2949">
        <f>K95*1.03</f>
        <v>-17476.289792565567</v>
      </c>
      <c r="C125" s="2949">
        <f>B125*1.03</f>
        <v>-18000.578486342536</v>
      </c>
      <c r="D125" s="2949">
        <f t="shared" ref="D125:F125" si="48">C125*1.03</f>
        <v>-18540.595840932812</v>
      </c>
      <c r="E125" s="2949">
        <f t="shared" si="48"/>
        <v>-19096.813716160796</v>
      </c>
      <c r="F125" s="2949">
        <f t="shared" si="48"/>
        <v>-19669.718127645621</v>
      </c>
      <c r="G125" s="17"/>
      <c r="H125" s="17"/>
      <c r="I125" s="17"/>
      <c r="J125" s="17"/>
      <c r="K125" s="17"/>
      <c r="N125" s="3834"/>
      <c r="O125" s="3836"/>
      <c r="Z125" s="2808" t="s">
        <v>6776</v>
      </c>
      <c r="AA125" s="1788">
        <v>125</v>
      </c>
    </row>
    <row r="126" spans="1:27" ht="13.35" customHeight="1">
      <c r="A126" s="21" t="s">
        <v>1122</v>
      </c>
      <c r="B126" s="22">
        <f>SUM(B119:B125)</f>
        <v>-41077.885885292984</v>
      </c>
      <c r="C126" s="22">
        <f>SUM(C119:C125)</f>
        <v>-47830.493190396257</v>
      </c>
      <c r="D126" s="22">
        <f>SUM(D119:D125)</f>
        <v>-54982.149031801018</v>
      </c>
      <c r="E126" s="22">
        <f>SUM(E119:E125)</f>
        <v>-62546.748471940453</v>
      </c>
      <c r="F126" s="23">
        <f>SUM(F119:F125)</f>
        <v>-70541.68149724642</v>
      </c>
      <c r="G126" s="17"/>
      <c r="H126" s="17"/>
      <c r="I126" s="17"/>
      <c r="J126" s="17"/>
      <c r="K126" s="17"/>
      <c r="N126" s="3834"/>
      <c r="O126" s="3836"/>
      <c r="Z126" s="2808" t="s">
        <v>6776</v>
      </c>
      <c r="AA126" s="1788">
        <v>126</v>
      </c>
    </row>
    <row r="127" spans="1:27" ht="13.35" customHeight="1">
      <c r="A127" s="21" t="str">
        <f>$A97</f>
        <v>DCR Mortgage A</v>
      </c>
      <c r="B127" s="24">
        <f>IF(B120=0,"",-B119/B120)</f>
        <v>0.83292857560173217</v>
      </c>
      <c r="C127" s="24">
        <f>IF(C120=0,"",-C119/C120)</f>
        <v>0.78883943612522156</v>
      </c>
      <c r="D127" s="24">
        <f>IF(D120=0,"",-D119/D120)</f>
        <v>0.74203684467087161</v>
      </c>
      <c r="E127" s="24">
        <f>IF(E120=0,"",-E119/E120)</f>
        <v>0.69242578081840955</v>
      </c>
      <c r="F127" s="25">
        <f>IF(F120=0,"",-F119/F120)</f>
        <v>0.63988658441982804</v>
      </c>
      <c r="G127" s="17"/>
      <c r="H127" s="17"/>
      <c r="I127" s="17"/>
      <c r="J127" s="17"/>
      <c r="K127" s="17"/>
      <c r="N127" s="3834"/>
      <c r="O127" s="3836"/>
      <c r="Z127" s="2808"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4"/>
      <c r="O128" s="3836"/>
      <c r="Z128" s="2808"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4"/>
      <c r="O129" s="3836"/>
      <c r="Z129" s="2808"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4"/>
      <c r="O130" s="3836"/>
      <c r="Z130" s="2808" t="s">
        <v>6776</v>
      </c>
      <c r="AA130" s="1788">
        <v>130</v>
      </c>
    </row>
    <row r="131" spans="1:27" ht="13.35" customHeight="1">
      <c r="A131" s="409" t="s">
        <v>3343</v>
      </c>
      <c r="B131" s="24">
        <f>IF(AND(B120=0,B121=0,B122=0,B123=0),"",-B119/(B120+B121+B122+B123))</f>
        <v>0.83292857560173217</v>
      </c>
      <c r="C131" s="24">
        <f>IF(AND(C120=0,C121=0,C122=0,C123=0),"",-C119/(C120+C121+C122+C123))</f>
        <v>0.78883943612522156</v>
      </c>
      <c r="D131" s="24">
        <f>IF(AND(D120=0,D121=0,D122=0,D123=0),"",-D119/(D120+D121+D122+D123))</f>
        <v>0.74203684467087161</v>
      </c>
      <c r="E131" s="24">
        <f>IF(AND(E120=0,E121=0,E122=0,E123=0),"",-E119/(E120+E121+E122+E123))</f>
        <v>0.69242578081840955</v>
      </c>
      <c r="F131" s="25">
        <f>IF(AND(F120=0,F121=0,F122=0,F123=0),"",-F119/(F120+F121+F122+F123))</f>
        <v>0.63988658441982804</v>
      </c>
      <c r="G131" s="17"/>
      <c r="H131" s="17"/>
      <c r="I131" s="17"/>
      <c r="J131" s="17"/>
      <c r="K131" s="17"/>
      <c r="N131" s="3834"/>
      <c r="O131" s="3836"/>
      <c r="Z131" s="2808" t="s">
        <v>6776</v>
      </c>
      <c r="AA131" s="1788">
        <v>131</v>
      </c>
    </row>
    <row r="132" spans="1:27" ht="13.35" customHeight="1">
      <c r="A132" s="21" t="s">
        <v>740</v>
      </c>
      <c r="B132" s="263">
        <f>IF(OR(B116="Choose mgt fee",B116="Choose One!"),"",(B109+B110+B111+B112+B113) / -(B115+B116+B117))</f>
        <v>1.1371007686849997</v>
      </c>
      <c r="C132" s="263">
        <f>IF(OR(C116="Choose mgt fee",C116="Choose One!"),"",(C109+C110+C111+C112+C113) / -(C115+C116+C117))</f>
        <v>1.1260619107835956</v>
      </c>
      <c r="D132" s="263">
        <f>IF(OR(D116="Choose mgt fee",D116="Choose One!"),"",(D109+D110+D111+D112+D113) / -(D115+D116+D117))</f>
        <v>1.115128609513621</v>
      </c>
      <c r="E132" s="263">
        <f>IF(OR(E116="Choose mgt fee",E116="Choose One!"),"",(E109+E110+E111+E112+E113) / -(E115+E116+E117))</f>
        <v>1.1043022947875465</v>
      </c>
      <c r="F132" s="567">
        <f>IF(OR(F116="Choose mgt fee",F116="Choose One!"),"",(F109+F110+F111+F112+F113) / -(F115+F116+F117))</f>
        <v>1.0935807095019401</v>
      </c>
      <c r="G132" s="17"/>
      <c r="H132" s="17"/>
      <c r="I132" s="17"/>
      <c r="J132" s="17"/>
      <c r="K132" s="17"/>
      <c r="N132" s="3834"/>
      <c r="O132" s="3836"/>
      <c r="Z132" s="2808" t="s">
        <v>6776</v>
      </c>
      <c r="AA132" s="1787">
        <v>132</v>
      </c>
    </row>
    <row r="133" spans="1:27" ht="13.35" customHeight="1">
      <c r="A133" s="409" t="s">
        <v>2493</v>
      </c>
      <c r="B133" s="2950">
        <f>IF('Part III-Sources of Funds'!$I$40="","",-FV('Part III-Sources of Funds'!$K$40/12,12,B120/12,K103))</f>
        <v>509678.91135731735</v>
      </c>
      <c r="C133" s="2950">
        <f>IF('Part III-Sources of Funds'!$I$40="","",-FV('Part III-Sources of Funds'!$K$40/12,12,C120/12,B133))</f>
        <v>391906.75015646452</v>
      </c>
      <c r="D133" s="2950">
        <f>IF('Part III-Sources of Funds'!$I$40="","",-FV('Part III-Sources of Funds'!$K$40/12,12,D120/12,C133))</f>
        <v>267924.0891211885</v>
      </c>
      <c r="E133" s="2950">
        <f>IF('Part III-Sources of Funds'!$I$40="","",-FV('Part III-Sources of Funds'!$K$40/12,12,E120/12,D133))</f>
        <v>137403.42888491487</v>
      </c>
      <c r="F133" s="2950">
        <f>IF('Part III-Sources of Funds'!$I$40="","",-FV('Part III-Sources of Funds'!$K$40/12,12,F120/12,E133))</f>
        <v>8.2916812971234322E-8</v>
      </c>
      <c r="G133" s="17"/>
      <c r="H133" s="17"/>
      <c r="I133" s="17"/>
      <c r="J133" s="17"/>
      <c r="K133" s="17"/>
      <c r="N133" s="3834"/>
      <c r="O133" s="3836"/>
      <c r="Z133" s="2808" t="s">
        <v>6776</v>
      </c>
      <c r="AA133" s="1788">
        <v>133</v>
      </c>
    </row>
    <row r="134" spans="1:27" ht="13.35" customHeight="1">
      <c r="A134" s="409" t="s">
        <v>2494</v>
      </c>
      <c r="B134" s="2946" t="str">
        <f>IF('Part III-Sources of Funds'!$I$41="","",-FV('Part III-Sources of Funds'!$K$41/12,12,B121/12,K104))</f>
        <v/>
      </c>
      <c r="C134" s="2946" t="str">
        <f>IF('Part III-Sources of Funds'!$I$41="","",-FV('Part III-Sources of Funds'!$K$41/12,12,C121/12,B134))</f>
        <v/>
      </c>
      <c r="D134" s="2946" t="str">
        <f>IF('Part III-Sources of Funds'!$I$41="","",-FV('Part III-Sources of Funds'!$K$41/12,12,D121/12,C134))</f>
        <v/>
      </c>
      <c r="E134" s="2946" t="str">
        <f>IF('Part III-Sources of Funds'!$I$41="","",-FV('Part III-Sources of Funds'!$K$41/12,12,E121/12,D134))</f>
        <v/>
      </c>
      <c r="F134" s="2946" t="str">
        <f>IF('Part III-Sources of Funds'!$I$41="","",-FV('Part III-Sources of Funds'!$K$41/12,12,F121/12,E134))</f>
        <v/>
      </c>
      <c r="G134" s="17"/>
      <c r="H134" s="17"/>
      <c r="I134" s="17"/>
      <c r="J134" s="17"/>
      <c r="K134" s="17"/>
      <c r="N134" s="3834"/>
      <c r="O134" s="3836"/>
      <c r="Z134" s="2808" t="s">
        <v>6776</v>
      </c>
      <c r="AA134" s="1788">
        <v>134</v>
      </c>
    </row>
    <row r="135" spans="1:27" ht="13.35" customHeight="1">
      <c r="A135" s="409" t="s">
        <v>2495</v>
      </c>
      <c r="B135" s="2946" t="str">
        <f>IF('Part III-Sources of Funds'!$I$42="","",-FV('Part III-Sources of Funds'!$K$42/12,12,B122/12,K105))</f>
        <v/>
      </c>
      <c r="C135" s="2946" t="str">
        <f>IF('Part III-Sources of Funds'!$I$42="","",-FV('Part III-Sources of Funds'!$K$42/12,12,C122/12,B135))</f>
        <v/>
      </c>
      <c r="D135" s="2946" t="str">
        <f>IF('Part III-Sources of Funds'!$I$42="","",-FV('Part III-Sources of Funds'!$K$42/12,12,D122/12,C135))</f>
        <v/>
      </c>
      <c r="E135" s="2946" t="str">
        <f>IF('Part III-Sources of Funds'!$I$42="","",-FV('Part III-Sources of Funds'!$K$42/12,12,E122/12,D135))</f>
        <v/>
      </c>
      <c r="F135" s="2946" t="str">
        <f>IF('Part III-Sources of Funds'!$I$42="","",-FV('Part III-Sources of Funds'!$K$42/12,12,F122/12,E135))</f>
        <v/>
      </c>
      <c r="G135" s="17"/>
      <c r="H135" s="17"/>
      <c r="I135" s="17"/>
      <c r="J135" s="17"/>
      <c r="K135" s="17"/>
      <c r="N135" s="3834"/>
      <c r="O135" s="3836"/>
      <c r="Z135" s="2808" t="s">
        <v>6776</v>
      </c>
      <c r="AA135" s="1788">
        <v>135</v>
      </c>
    </row>
    <row r="136" spans="1:27" ht="13.35" customHeight="1">
      <c r="A136" s="26" t="s">
        <v>752</v>
      </c>
      <c r="B136" s="2949" t="str">
        <f>IF('Part III-Sources of Funds'!$I$43="","",-FV('Part III-Sources of Funds'!$K$43/12,12,B123/12,K106))</f>
        <v/>
      </c>
      <c r="C136" s="2949" t="str">
        <f>IF('Part III-Sources of Funds'!$I$43="","",-FV('Part III-Sources of Funds'!$K$43/12,12,C123/12,B136))</f>
        <v/>
      </c>
      <c r="D136" s="2949" t="str">
        <f>IF('Part III-Sources of Funds'!$I$43="","",-FV('Part III-Sources of Funds'!$K$43/12,12,D123/12,C136))</f>
        <v/>
      </c>
      <c r="E136" s="2949" t="str">
        <f>IF('Part III-Sources of Funds'!$I$43="","",-FV('Part III-Sources of Funds'!$K$43/12,12,E123/12,D136))</f>
        <v/>
      </c>
      <c r="F136" s="2949" t="str">
        <f>IF('Part III-Sources of Funds'!$I$43="","",-FV('Part III-Sources of Funds'!$K$43/12,12,F123/12,E136))</f>
        <v/>
      </c>
      <c r="G136" s="17"/>
      <c r="H136" s="17"/>
      <c r="I136" s="17"/>
      <c r="J136" s="17"/>
      <c r="K136" s="17"/>
      <c r="N136" s="3840"/>
      <c r="O136" s="3842"/>
      <c r="Z136" s="2808"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9" t="s">
        <v>6989</v>
      </c>
      <c r="B140" s="3936"/>
      <c r="C140" s="3936"/>
      <c r="D140" s="3936"/>
      <c r="E140" s="3936"/>
      <c r="F140" s="3937"/>
      <c r="G140" s="3938"/>
      <c r="H140" s="3939"/>
      <c r="I140" s="3939"/>
      <c r="J140" s="3939"/>
      <c r="K140" s="3940"/>
      <c r="N140" s="3470" t="s">
        <v>2542</v>
      </c>
      <c r="O140" s="347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1"/>
      <c r="AA145" s="1789"/>
    </row>
    <row r="146" spans="12:27" s="1" customFormat="1" ht="12" customHeight="1">
      <c r="L146" s="8"/>
      <c r="M146" s="8"/>
      <c r="N146" s="8"/>
      <c r="O146" s="8"/>
      <c r="Z146" s="2851"/>
      <c r="AA146" s="1789"/>
    </row>
    <row r="147" spans="12:27" s="1" customFormat="1" ht="12" customHeight="1">
      <c r="L147" s="8"/>
      <c r="M147" s="8"/>
      <c r="N147" s="8"/>
      <c r="O147" s="8"/>
      <c r="Q147" s="8"/>
      <c r="R147" s="8"/>
      <c r="Z147" s="2851"/>
      <c r="AA147" s="1789"/>
    </row>
    <row r="148" spans="12:27" s="1" customFormat="1" ht="12" customHeight="1">
      <c r="L148" s="8"/>
      <c r="M148" s="8"/>
      <c r="N148" s="8"/>
      <c r="O148" s="8"/>
      <c r="S148" s="8"/>
      <c r="Z148" s="2851"/>
      <c r="AA148" s="1789"/>
    </row>
    <row r="149" spans="12:27" ht="12" customHeight="1">
      <c r="Q149" s="1"/>
      <c r="R149" s="1"/>
      <c r="S149" s="1"/>
    </row>
    <row r="150" spans="12:27" s="1" customFormat="1" ht="12" customHeight="1">
      <c r="L150" s="8"/>
      <c r="M150" s="8"/>
      <c r="N150" s="8"/>
      <c r="O150" s="8"/>
      <c r="Q150" s="8"/>
      <c r="R150" s="8"/>
      <c r="Z150" s="2851"/>
      <c r="AA150" s="1789"/>
    </row>
    <row r="151" spans="12:27" s="1" customFormat="1" ht="12" customHeight="1">
      <c r="L151" s="8"/>
      <c r="M151" s="8"/>
      <c r="N151" s="8"/>
      <c r="O151" s="8"/>
      <c r="S151" s="8"/>
      <c r="Z151" s="2851"/>
      <c r="AA151" s="1789"/>
    </row>
    <row r="152" spans="12:27" ht="12" customHeight="1">
      <c r="Q152" s="1"/>
      <c r="R152" s="1"/>
      <c r="S152" s="1"/>
    </row>
    <row r="153" spans="12:27" s="1" customFormat="1" ht="12" customHeight="1">
      <c r="L153" s="8"/>
      <c r="M153" s="8"/>
      <c r="N153" s="8"/>
      <c r="O153" s="8"/>
      <c r="Z153" s="2851"/>
      <c r="AA153" s="1789"/>
    </row>
    <row r="154" spans="12:27" s="1" customFormat="1" ht="12" customHeight="1">
      <c r="L154" s="8"/>
      <c r="M154" s="8"/>
      <c r="N154" s="8"/>
      <c r="O154" s="8"/>
      <c r="Z154" s="2851"/>
      <c r="AA154" s="1789"/>
    </row>
    <row r="155" spans="12:27" s="1" customFormat="1" ht="12" customHeight="1">
      <c r="L155" s="8"/>
      <c r="M155" s="8"/>
      <c r="N155" s="8"/>
      <c r="O155" s="8"/>
      <c r="Z155" s="2851"/>
      <c r="AA155" s="1789"/>
    </row>
    <row r="156" spans="12:27" s="1" customFormat="1" ht="12" customHeight="1">
      <c r="L156" s="8"/>
      <c r="M156" s="8"/>
      <c r="N156" s="8"/>
      <c r="O156" s="8"/>
      <c r="Z156" s="2851"/>
      <c r="AA156" s="1789"/>
    </row>
    <row r="157" spans="12:27" s="1" customFormat="1" ht="12" customHeight="1">
      <c r="L157" s="8"/>
      <c r="M157" s="8"/>
      <c r="N157" s="8"/>
      <c r="O157" s="8"/>
      <c r="Z157" s="2851"/>
      <c r="AA157" s="1789"/>
    </row>
    <row r="158" spans="12:27" s="1" customFormat="1" ht="12" customHeight="1">
      <c r="L158" s="8"/>
      <c r="M158" s="8"/>
      <c r="N158" s="8"/>
      <c r="O158" s="8"/>
      <c r="Q158" s="8"/>
      <c r="R158" s="8"/>
      <c r="Z158" s="2851"/>
      <c r="AA158" s="1789"/>
    </row>
    <row r="159" spans="12:27" s="1" customFormat="1" ht="12" customHeight="1">
      <c r="L159" s="8"/>
      <c r="M159" s="8"/>
      <c r="N159" s="8"/>
      <c r="O159" s="8"/>
      <c r="S159" s="8"/>
      <c r="Z159" s="2851"/>
      <c r="AA159" s="1789"/>
    </row>
    <row r="160" spans="12:27" ht="12" customHeight="1">
      <c r="Q160" s="1"/>
      <c r="R160" s="1"/>
      <c r="S160" s="1"/>
    </row>
    <row r="161" spans="12:27" s="1" customFormat="1" ht="12" customHeight="1">
      <c r="L161" s="8"/>
      <c r="M161" s="8"/>
      <c r="N161" s="8"/>
      <c r="O161" s="8"/>
      <c r="Z161" s="2851"/>
      <c r="AA161" s="1789"/>
    </row>
    <row r="162" spans="12:27" s="1" customFormat="1" ht="12" customHeight="1">
      <c r="L162" s="8"/>
      <c r="M162" s="8"/>
      <c r="N162" s="8"/>
      <c r="O162" s="8"/>
      <c r="Z162" s="2851"/>
      <c r="AA162" s="1789"/>
    </row>
    <row r="163" spans="12:27" s="1" customFormat="1" ht="12" customHeight="1">
      <c r="L163" s="8"/>
      <c r="M163" s="8"/>
      <c r="N163" s="8"/>
      <c r="O163" s="8"/>
      <c r="Z163" s="2851"/>
      <c r="AA163" s="1789"/>
    </row>
    <row r="164" spans="12:27" s="1" customFormat="1" ht="12" customHeight="1">
      <c r="L164" s="8"/>
      <c r="M164" s="8"/>
      <c r="N164" s="8"/>
      <c r="O164" s="8"/>
      <c r="Z164" s="2851"/>
      <c r="AA164" s="1789"/>
    </row>
    <row r="165" spans="12:27" s="1" customFormat="1" ht="12" customHeight="1">
      <c r="L165" s="8"/>
      <c r="M165" s="8"/>
      <c r="N165" s="8"/>
      <c r="O165" s="8"/>
      <c r="Z165" s="2851"/>
      <c r="AA165" s="1789"/>
    </row>
    <row r="166" spans="12:27" s="1" customFormat="1" ht="12" customHeight="1">
      <c r="L166" s="8"/>
      <c r="M166" s="8"/>
      <c r="N166" s="8"/>
      <c r="O166" s="8"/>
      <c r="Z166" s="2851"/>
      <c r="AA166" s="1789"/>
    </row>
    <row r="167" spans="12:27" s="1" customFormat="1" ht="12" customHeight="1">
      <c r="L167" s="8"/>
      <c r="M167" s="8"/>
      <c r="N167" s="8"/>
      <c r="O167" s="8"/>
      <c r="Z167" s="2851"/>
      <c r="AA167" s="1789"/>
    </row>
    <row r="168" spans="12:27" s="1" customFormat="1" ht="12" customHeight="1">
      <c r="L168" s="8"/>
      <c r="M168" s="8"/>
      <c r="N168" s="8"/>
      <c r="O168" s="8"/>
      <c r="Z168" s="2851"/>
      <c r="AA168" s="1789"/>
    </row>
    <row r="169" spans="12:27" s="1" customFormat="1" ht="12" customHeight="1">
      <c r="L169" s="8"/>
      <c r="M169" s="8"/>
      <c r="N169" s="8"/>
      <c r="O169" s="8"/>
      <c r="Z169" s="2851"/>
      <c r="AA169" s="1789"/>
    </row>
    <row r="170" spans="12:27" s="1" customFormat="1" ht="12" customHeight="1">
      <c r="L170" s="8"/>
      <c r="M170" s="8"/>
      <c r="N170" s="8"/>
      <c r="O170" s="8"/>
      <c r="Q170" s="8"/>
      <c r="R170" s="8"/>
      <c r="Z170" s="2851"/>
      <c r="AA170" s="1789"/>
    </row>
    <row r="171" spans="12:27" s="1" customFormat="1" ht="12" customHeight="1">
      <c r="L171" s="8"/>
      <c r="M171" s="8"/>
      <c r="N171" s="8"/>
      <c r="O171" s="8"/>
      <c r="Q171" s="8"/>
      <c r="R171" s="8"/>
      <c r="S171" s="8"/>
      <c r="Z171" s="2851"/>
      <c r="AA171" s="1789"/>
    </row>
    <row r="172" spans="12:27" ht="12" customHeight="1"/>
    <row r="173" spans="12:27" ht="12" customHeight="1"/>
    <row r="174" spans="12:27" ht="12" customHeight="1"/>
    <row r="175" spans="12:27" ht="12" customHeight="1"/>
  </sheetData>
  <sheetProtection algorithmName="SHA-512" hashValue="Pps7U/DbE0LFxkA1WaupLA5aJYzbsz97q85byyF45BAs86Bs0TzxRXztoPO0pxphKSkpMqqaIVKUAg17l65ZzQ==" saltValue="oohsK+KEBa0wiEsJfOWID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9 B40:K44 B56:K62 B31 C30:K30 B65:K94 G64:K64 B96:K124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0" zoomScale="110" zoomScaleNormal="110" workbookViewId="0">
      <selection activeCell="A460"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3" t="str">
        <f>CONCATENATE("PART EIGHT - THRESHOLD CRITERIA","  -  ",'Part I-Project Information'!$O$7," ",'Part I-Project Information'!$F$35,", ",'Part I-Project Information'!F39,", ",'Part I-Project Information'!J40," County")</f>
        <v>PART EIGHT - THRESHOLD CRITERIA  -  2021-041 Hunters Haven, Flemington, Liberty County</v>
      </c>
      <c r="B1" s="3594"/>
      <c r="C1" s="3594"/>
      <c r="D1" s="3594"/>
      <c r="E1" s="3594"/>
      <c r="F1" s="3594"/>
      <c r="G1" s="3594"/>
      <c r="H1" s="3594"/>
      <c r="I1" s="3594"/>
      <c r="J1" s="3594"/>
      <c r="K1" s="3594"/>
      <c r="L1" s="3594"/>
      <c r="M1" s="3594"/>
      <c r="N1" s="3594"/>
      <c r="O1" s="3594"/>
      <c r="P1" s="3594"/>
      <c r="Q1" s="3594"/>
      <c r="R1" s="4065" t="str">
        <f>'Part I-Project Information'!$B$7</f>
        <v>2021 Core Application</v>
      </c>
      <c r="S1" s="4065"/>
    </row>
    <row r="2" spans="1:32" s="27" customFormat="1" ht="3" customHeight="1">
      <c r="R2" s="4065"/>
      <c r="S2" s="4065"/>
      <c r="AE2" s="115"/>
      <c r="AF2" s="115"/>
    </row>
    <row r="3" spans="1:32" ht="13.5" customHeight="1">
      <c r="A3" s="404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8"/>
      <c r="C3" s="4048"/>
      <c r="D3" s="4048"/>
      <c r="E3" s="4048"/>
      <c r="F3" s="4048"/>
      <c r="G3" s="4048"/>
      <c r="H3" s="404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8"/>
      <c r="J3" s="4048"/>
      <c r="K3" s="4048"/>
      <c r="L3" s="4048"/>
      <c r="M3" s="4048"/>
      <c r="N3" s="4049"/>
      <c r="O3" s="4050" t="s">
        <v>900</v>
      </c>
      <c r="P3" s="4051"/>
      <c r="Q3" s="2951" t="s">
        <v>1758</v>
      </c>
      <c r="R3" s="4065"/>
      <c r="S3" s="4065"/>
    </row>
    <row r="4" spans="1:32" ht="3" customHeight="1">
      <c r="A4" s="1401"/>
      <c r="B4" s="4052"/>
      <c r="C4" s="4052"/>
      <c r="D4" s="4052"/>
      <c r="E4" s="1401"/>
      <c r="F4" s="1401"/>
      <c r="G4" s="1401"/>
      <c r="H4" s="1401"/>
      <c r="I4" s="1401"/>
      <c r="J4" s="1401"/>
      <c r="K4" s="1401"/>
      <c r="L4" s="1401"/>
      <c r="M4" s="1401"/>
      <c r="N4" s="1401"/>
      <c r="P4" s="1401"/>
      <c r="Q4" s="1401"/>
      <c r="R4" s="4065"/>
      <c r="S4" s="4065"/>
    </row>
    <row r="5" spans="1:32" ht="11.1" hidden="1" customHeight="1">
      <c r="A5" s="1401"/>
      <c r="B5" s="1401"/>
      <c r="C5" s="1401"/>
      <c r="D5" s="1401"/>
      <c r="E5" s="1401"/>
      <c r="F5" s="1401"/>
      <c r="G5" s="1401"/>
      <c r="H5" s="1401"/>
      <c r="I5" s="1401"/>
      <c r="J5" s="1401"/>
      <c r="K5" s="1401"/>
      <c r="L5" s="1401"/>
      <c r="M5" s="1401"/>
      <c r="N5" s="1401"/>
      <c r="P5" s="1401"/>
      <c r="Q5" s="1401"/>
      <c r="R5" s="4065"/>
      <c r="S5" s="4065"/>
    </row>
    <row r="6" spans="1:32" ht="17.25" customHeight="1">
      <c r="A6" s="124" t="s">
        <v>538</v>
      </c>
      <c r="J6" s="4055" t="s">
        <v>3416</v>
      </c>
      <c r="K6" s="4055"/>
      <c r="L6" s="4055"/>
      <c r="M6" s="4055"/>
      <c r="N6" s="4055"/>
      <c r="O6" s="4056"/>
      <c r="P6" s="4053"/>
      <c r="Q6" s="4054"/>
      <c r="R6" s="4065"/>
      <c r="S6" s="4065"/>
    </row>
    <row r="7" spans="1:32" ht="12.6" customHeight="1">
      <c r="A7" s="125" t="s">
        <v>3187</v>
      </c>
      <c r="C7" s="126"/>
      <c r="D7" s="126"/>
      <c r="H7" s="1069"/>
      <c r="I7" s="1069"/>
      <c r="J7" s="1069"/>
      <c r="K7" s="1069"/>
      <c r="L7" s="1069"/>
      <c r="M7" s="1401"/>
      <c r="N7" s="1401"/>
    </row>
    <row r="8" spans="1:32" ht="24.6" customHeight="1">
      <c r="A8" s="4057" t="s">
        <v>1358</v>
      </c>
      <c r="B8" s="4058"/>
      <c r="C8" s="4058"/>
      <c r="D8" s="4058"/>
      <c r="E8" s="4058"/>
      <c r="F8" s="4058"/>
      <c r="G8" s="4058"/>
      <c r="H8" s="4058"/>
      <c r="I8" s="4058"/>
      <c r="J8" s="4058"/>
      <c r="K8" s="4058"/>
      <c r="L8" s="4058"/>
      <c r="M8" s="4058"/>
      <c r="N8" s="4058"/>
      <c r="O8" s="4058"/>
      <c r="P8" s="4058"/>
      <c r="Q8" s="4059"/>
      <c r="R8" s="3859" t="s">
        <v>1940</v>
      </c>
      <c r="S8" s="3133"/>
    </row>
    <row r="9" spans="1:32" ht="24.6" customHeight="1">
      <c r="A9" s="4015" t="s">
        <v>217</v>
      </c>
      <c r="B9" s="4016"/>
      <c r="C9" s="4016"/>
      <c r="D9" s="4016"/>
      <c r="E9" s="4016"/>
      <c r="F9" s="4016"/>
      <c r="G9" s="4016"/>
      <c r="H9" s="4016"/>
      <c r="I9" s="4016"/>
      <c r="J9" s="4016"/>
      <c r="K9" s="4016"/>
      <c r="L9" s="4016"/>
      <c r="M9" s="4016"/>
      <c r="N9" s="4016"/>
      <c r="O9" s="4016"/>
      <c r="P9" s="4016"/>
      <c r="Q9" s="4017"/>
      <c r="R9" s="3859"/>
      <c r="S9" s="3133"/>
    </row>
    <row r="10" spans="1:32" ht="24.6" customHeight="1">
      <c r="A10" s="4015" t="s">
        <v>1354</v>
      </c>
      <c r="B10" s="4016"/>
      <c r="C10" s="4016"/>
      <c r="D10" s="4016"/>
      <c r="E10" s="4016"/>
      <c r="F10" s="4016"/>
      <c r="G10" s="4016"/>
      <c r="H10" s="4016"/>
      <c r="I10" s="4016"/>
      <c r="J10" s="4016"/>
      <c r="K10" s="4016"/>
      <c r="L10" s="4016"/>
      <c r="M10" s="4016"/>
      <c r="N10" s="4016"/>
      <c r="O10" s="4016"/>
      <c r="P10" s="4016"/>
      <c r="Q10" s="4017"/>
      <c r="R10" s="3859"/>
      <c r="S10" s="3133"/>
    </row>
    <row r="11" spans="1:32" ht="24.6" customHeight="1">
      <c r="A11" s="4015" t="s">
        <v>1355</v>
      </c>
      <c r="B11" s="4016"/>
      <c r="C11" s="4016"/>
      <c r="D11" s="4016"/>
      <c r="E11" s="4016"/>
      <c r="F11" s="4016"/>
      <c r="G11" s="4016"/>
      <c r="H11" s="4016"/>
      <c r="I11" s="4016"/>
      <c r="J11" s="4016"/>
      <c r="K11" s="4016"/>
      <c r="L11" s="4016"/>
      <c r="M11" s="4016"/>
      <c r="N11" s="4016"/>
      <c r="O11" s="4016"/>
      <c r="P11" s="4016"/>
      <c r="Q11" s="4017"/>
      <c r="R11" s="3859"/>
      <c r="S11" s="3133"/>
    </row>
    <row r="12" spans="1:32" ht="24" customHeight="1">
      <c r="A12" s="4015" t="s">
        <v>1356</v>
      </c>
      <c r="B12" s="4016"/>
      <c r="C12" s="4016"/>
      <c r="D12" s="4016"/>
      <c r="E12" s="4016"/>
      <c r="F12" s="4016"/>
      <c r="G12" s="4016"/>
      <c r="H12" s="4016"/>
      <c r="I12" s="4016"/>
      <c r="J12" s="4016"/>
      <c r="K12" s="4016"/>
      <c r="L12" s="4016"/>
      <c r="M12" s="4016"/>
      <c r="N12" s="4016"/>
      <c r="O12" s="4016"/>
      <c r="P12" s="4016"/>
      <c r="Q12" s="4017"/>
      <c r="R12" s="2617"/>
      <c r="S12" s="2617"/>
    </row>
    <row r="13" spans="1:32" ht="11.25" customHeight="1">
      <c r="A13" s="4015" t="s">
        <v>1357</v>
      </c>
      <c r="B13" s="4016"/>
      <c r="C13" s="4016"/>
      <c r="D13" s="4016"/>
      <c r="E13" s="4016"/>
      <c r="F13" s="4016"/>
      <c r="G13" s="4016"/>
      <c r="H13" s="4016"/>
      <c r="I13" s="4016"/>
      <c r="J13" s="4016"/>
      <c r="K13" s="4016"/>
      <c r="L13" s="4016"/>
      <c r="M13" s="4016"/>
      <c r="N13" s="4016"/>
      <c r="O13" s="4016"/>
      <c r="P13" s="4016"/>
      <c r="Q13" s="4017"/>
      <c r="R13" s="2617"/>
      <c r="S13" s="2617"/>
    </row>
    <row r="14" spans="1:32" ht="11.25" customHeight="1">
      <c r="A14" s="4015" t="s">
        <v>1359</v>
      </c>
      <c r="B14" s="4016"/>
      <c r="C14" s="4016"/>
      <c r="D14" s="4016"/>
      <c r="E14" s="4016"/>
      <c r="F14" s="4016"/>
      <c r="G14" s="4016"/>
      <c r="H14" s="4016"/>
      <c r="I14" s="4016"/>
      <c r="J14" s="4016"/>
      <c r="K14" s="4016"/>
      <c r="L14" s="4016"/>
      <c r="M14" s="4016"/>
      <c r="N14" s="4016"/>
      <c r="O14" s="4016"/>
      <c r="P14" s="4016"/>
      <c r="Q14" s="4017"/>
    </row>
    <row r="15" spans="1:32" ht="11.25" customHeight="1">
      <c r="A15" s="4015" t="s">
        <v>1927</v>
      </c>
      <c r="B15" s="4016"/>
      <c r="C15" s="4016"/>
      <c r="D15" s="4016"/>
      <c r="E15" s="4016"/>
      <c r="F15" s="4016"/>
      <c r="G15" s="4016"/>
      <c r="H15" s="4016"/>
      <c r="I15" s="4016"/>
      <c r="J15" s="4016"/>
      <c r="K15" s="4016"/>
      <c r="L15" s="4016"/>
      <c r="M15" s="4016"/>
      <c r="N15" s="4016"/>
      <c r="O15" s="4016"/>
      <c r="P15" s="4016"/>
      <c r="Q15" s="4017"/>
      <c r="R15" s="3859"/>
      <c r="S15" s="3452"/>
    </row>
    <row r="16" spans="1:32" ht="11.25" customHeight="1">
      <c r="A16" s="4015" t="s">
        <v>1928</v>
      </c>
      <c r="B16" s="4016"/>
      <c r="C16" s="4016"/>
      <c r="D16" s="4016"/>
      <c r="E16" s="4016"/>
      <c r="F16" s="4016"/>
      <c r="G16" s="4016"/>
      <c r="H16" s="4016"/>
      <c r="I16" s="4016"/>
      <c r="J16" s="4016"/>
      <c r="K16" s="4016"/>
      <c r="L16" s="4016"/>
      <c r="M16" s="4016"/>
      <c r="N16" s="4016"/>
      <c r="O16" s="4016"/>
      <c r="P16" s="4016"/>
      <c r="Q16" s="4017"/>
      <c r="R16" s="3859"/>
      <c r="S16" s="3452"/>
    </row>
    <row r="17" spans="1:31" ht="11.25" customHeight="1">
      <c r="A17" s="4015" t="s">
        <v>1929</v>
      </c>
      <c r="B17" s="4016"/>
      <c r="C17" s="4016"/>
      <c r="D17" s="4016"/>
      <c r="E17" s="4016"/>
      <c r="F17" s="4016"/>
      <c r="G17" s="4016"/>
      <c r="H17" s="4016"/>
      <c r="I17" s="4016"/>
      <c r="J17" s="4016"/>
      <c r="K17" s="4016"/>
      <c r="L17" s="4016"/>
      <c r="M17" s="4016"/>
      <c r="N17" s="4016"/>
      <c r="O17" s="4016"/>
      <c r="P17" s="4016"/>
      <c r="Q17" s="4017"/>
      <c r="R17" s="3859"/>
      <c r="S17" s="3452"/>
    </row>
    <row r="18" spans="1:31" ht="11.25" customHeight="1">
      <c r="A18" s="4015" t="s">
        <v>1930</v>
      </c>
      <c r="B18" s="4016"/>
      <c r="C18" s="4016"/>
      <c r="D18" s="4016"/>
      <c r="E18" s="4016"/>
      <c r="F18" s="4016"/>
      <c r="G18" s="4016"/>
      <c r="H18" s="4016"/>
      <c r="I18" s="4016"/>
      <c r="J18" s="4016"/>
      <c r="K18" s="4016"/>
      <c r="L18" s="4016"/>
      <c r="M18" s="4016"/>
      <c r="N18" s="4016"/>
      <c r="O18" s="4016"/>
      <c r="P18" s="4016"/>
      <c r="Q18" s="4017"/>
      <c r="R18" s="3859"/>
      <c r="S18" s="3452"/>
    </row>
    <row r="19" spans="1:31" ht="11.25" customHeight="1">
      <c r="A19" s="4015" t="s">
        <v>1931</v>
      </c>
      <c r="B19" s="4016"/>
      <c r="C19" s="4016"/>
      <c r="D19" s="4016"/>
      <c r="E19" s="4016"/>
      <c r="F19" s="4016"/>
      <c r="G19" s="4016"/>
      <c r="H19" s="4016"/>
      <c r="I19" s="4016"/>
      <c r="J19" s="4016"/>
      <c r="K19" s="4016"/>
      <c r="L19" s="4016"/>
      <c r="M19" s="4016"/>
      <c r="N19" s="4016"/>
      <c r="O19" s="4016"/>
      <c r="P19" s="4016"/>
      <c r="Q19" s="4017"/>
      <c r="R19" s="3859"/>
      <c r="S19" s="3452"/>
    </row>
    <row r="20" spans="1:31" ht="11.25" customHeight="1">
      <c r="A20" s="4015" t="s">
        <v>1932</v>
      </c>
      <c r="B20" s="4016"/>
      <c r="C20" s="4016"/>
      <c r="D20" s="4016"/>
      <c r="E20" s="4016"/>
      <c r="F20" s="4016"/>
      <c r="G20" s="4016"/>
      <c r="H20" s="4016"/>
      <c r="I20" s="4016"/>
      <c r="J20" s="4016"/>
      <c r="K20" s="4016"/>
      <c r="L20" s="4016"/>
      <c r="M20" s="4016"/>
      <c r="N20" s="4016"/>
      <c r="O20" s="4016"/>
      <c r="P20" s="4016"/>
      <c r="Q20" s="4017"/>
      <c r="R20" s="3859"/>
      <c r="S20" s="3452"/>
    </row>
    <row r="21" spans="1:31" ht="11.25" customHeight="1">
      <c r="A21" s="4015" t="s">
        <v>1933</v>
      </c>
      <c r="B21" s="4016"/>
      <c r="C21" s="4016"/>
      <c r="D21" s="4016"/>
      <c r="E21" s="4016"/>
      <c r="F21" s="4016"/>
      <c r="G21" s="4016"/>
      <c r="H21" s="4016"/>
      <c r="I21" s="4016"/>
      <c r="J21" s="4016"/>
      <c r="K21" s="4016"/>
      <c r="L21" s="4016"/>
      <c r="M21" s="4016"/>
      <c r="N21" s="4016"/>
      <c r="O21" s="4016"/>
      <c r="P21" s="4016"/>
      <c r="Q21" s="4017"/>
    </row>
    <row r="22" spans="1:31" ht="11.25" customHeight="1">
      <c r="A22" s="4015" t="s">
        <v>1934</v>
      </c>
      <c r="B22" s="4016"/>
      <c r="C22" s="4016"/>
      <c r="D22" s="4016"/>
      <c r="E22" s="4016"/>
      <c r="F22" s="4016"/>
      <c r="G22" s="4016"/>
      <c r="H22" s="4016"/>
      <c r="I22" s="4016"/>
      <c r="J22" s="4016"/>
      <c r="K22" s="4016"/>
      <c r="L22" s="4016"/>
      <c r="M22" s="4016"/>
      <c r="N22" s="4016"/>
      <c r="O22" s="4016"/>
      <c r="P22" s="4016"/>
      <c r="Q22" s="4017"/>
      <c r="R22" s="3859"/>
      <c r="S22" s="3452"/>
    </row>
    <row r="23" spans="1:31" ht="11.25" customHeight="1">
      <c r="A23" s="4015" t="s">
        <v>1935</v>
      </c>
      <c r="B23" s="4016"/>
      <c r="C23" s="4016"/>
      <c r="D23" s="4016"/>
      <c r="E23" s="4016"/>
      <c r="F23" s="4016"/>
      <c r="G23" s="4016"/>
      <c r="H23" s="4016"/>
      <c r="I23" s="4016"/>
      <c r="J23" s="4016"/>
      <c r="K23" s="4016"/>
      <c r="L23" s="4016"/>
      <c r="M23" s="4016"/>
      <c r="N23" s="4016"/>
      <c r="O23" s="4016"/>
      <c r="P23" s="4016"/>
      <c r="Q23" s="4017"/>
      <c r="R23" s="3859"/>
      <c r="S23" s="3452"/>
    </row>
    <row r="24" spans="1:31" ht="11.25" customHeight="1">
      <c r="A24" s="4015" t="s">
        <v>1936</v>
      </c>
      <c r="B24" s="4016"/>
      <c r="C24" s="4016"/>
      <c r="D24" s="4016"/>
      <c r="E24" s="4016"/>
      <c r="F24" s="4016"/>
      <c r="G24" s="4016"/>
      <c r="H24" s="4016"/>
      <c r="I24" s="4016"/>
      <c r="J24" s="4016"/>
      <c r="K24" s="4016"/>
      <c r="L24" s="4016"/>
      <c r="M24" s="4016"/>
      <c r="N24" s="4016"/>
      <c r="O24" s="4016"/>
      <c r="P24" s="4016"/>
      <c r="Q24" s="4017"/>
      <c r="R24" s="3859"/>
      <c r="S24" s="3452"/>
    </row>
    <row r="25" spans="1:31" ht="11.25" customHeight="1">
      <c r="A25" s="4015" t="s">
        <v>1937</v>
      </c>
      <c r="B25" s="4016"/>
      <c r="C25" s="4016"/>
      <c r="D25" s="4016"/>
      <c r="E25" s="4016"/>
      <c r="F25" s="4016"/>
      <c r="G25" s="4016"/>
      <c r="H25" s="4016"/>
      <c r="I25" s="4016"/>
      <c r="J25" s="4016"/>
      <c r="K25" s="4016"/>
      <c r="L25" s="4016"/>
      <c r="M25" s="4016"/>
      <c r="N25" s="4016"/>
      <c r="O25" s="4016"/>
      <c r="P25" s="4016"/>
      <c r="Q25" s="4017"/>
      <c r="R25" s="3859"/>
      <c r="S25" s="3452"/>
    </row>
    <row r="26" spans="1:31" ht="11.25" customHeight="1">
      <c r="A26" s="4015" t="s">
        <v>1938</v>
      </c>
      <c r="B26" s="4016"/>
      <c r="C26" s="4016"/>
      <c r="D26" s="4016"/>
      <c r="E26" s="4016"/>
      <c r="F26" s="4016"/>
      <c r="G26" s="4016"/>
      <c r="H26" s="4016"/>
      <c r="I26" s="4016"/>
      <c r="J26" s="4016"/>
      <c r="K26" s="4016"/>
      <c r="L26" s="4016"/>
      <c r="M26" s="4016"/>
      <c r="N26" s="4016"/>
      <c r="O26" s="4016"/>
      <c r="P26" s="4016"/>
      <c r="Q26" s="4017"/>
      <c r="R26" s="3859"/>
      <c r="S26" s="3452"/>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859"/>
      <c r="S27" s="3452"/>
    </row>
    <row r="28" spans="1:31" ht="6" customHeight="1"/>
    <row r="29" spans="1:31" ht="14.1" customHeight="1">
      <c r="A29" s="127" t="s">
        <v>586</v>
      </c>
      <c r="B29" s="128" t="s">
        <v>2510</v>
      </c>
      <c r="C29" s="129"/>
      <c r="D29" s="86"/>
      <c r="E29" s="86"/>
      <c r="F29" s="86"/>
      <c r="G29" s="86"/>
      <c r="I29" s="2673"/>
      <c r="J29" s="2673"/>
      <c r="K29" s="2673"/>
      <c r="L29" s="1401"/>
      <c r="M29" s="1401"/>
      <c r="O29" s="130" t="s">
        <v>1781</v>
      </c>
      <c r="P29" s="3963"/>
      <c r="Q29" s="3964"/>
    </row>
    <row r="30" spans="1:31" ht="3" customHeight="1"/>
    <row r="31" spans="1:31" ht="11.25" customHeight="1">
      <c r="B31" s="66" t="s">
        <v>3371</v>
      </c>
      <c r="C31" s="66"/>
      <c r="D31" s="66"/>
      <c r="E31" s="66"/>
      <c r="F31" s="66"/>
      <c r="G31" s="2673"/>
      <c r="H31" s="2673"/>
      <c r="I31" s="2673"/>
      <c r="J31" s="2673"/>
      <c r="K31" s="1401"/>
      <c r="L31" s="1401"/>
      <c r="M31" s="1401"/>
      <c r="N31" s="1401"/>
      <c r="O31" s="1401"/>
      <c r="P31" s="782"/>
      <c r="S31" s="156"/>
      <c r="T31" s="156"/>
    </row>
    <row r="32" spans="1:31" ht="108.75" customHeight="1">
      <c r="A32" s="3965" t="s">
        <v>7006</v>
      </c>
      <c r="B32" s="3966"/>
      <c r="C32" s="3966"/>
      <c r="D32" s="3966"/>
      <c r="E32" s="3966"/>
      <c r="F32" s="3966"/>
      <c r="G32" s="3966"/>
      <c r="H32" s="3966"/>
      <c r="I32" s="3966"/>
      <c r="J32" s="3966"/>
      <c r="K32" s="3966"/>
      <c r="L32" s="3966"/>
      <c r="M32" s="3966"/>
      <c r="N32" s="3966"/>
      <c r="O32" s="3966"/>
      <c r="P32" s="3966"/>
      <c r="Q32" s="3967"/>
      <c r="R32" s="427" t="s">
        <v>1208</v>
      </c>
      <c r="S32" s="428"/>
      <c r="T32" s="156"/>
      <c r="U32" s="134"/>
      <c r="V32" s="134"/>
      <c r="W32" s="134"/>
      <c r="X32" s="134"/>
      <c r="Y32" s="134"/>
      <c r="Z32" s="134"/>
      <c r="AA32" s="134"/>
      <c r="AB32" s="134"/>
      <c r="AC32" s="134"/>
      <c r="AD32" s="134"/>
      <c r="AE32" s="441"/>
    </row>
    <row r="33" spans="1:295" ht="11.25" customHeight="1">
      <c r="B33" s="135" t="s">
        <v>1780</v>
      </c>
      <c r="C33" s="136"/>
      <c r="D33" s="2656"/>
      <c r="E33" s="2656"/>
      <c r="F33" s="2656"/>
      <c r="G33" s="2656"/>
      <c r="H33" s="2656"/>
      <c r="I33" s="2656"/>
      <c r="J33" s="2656"/>
      <c r="K33" s="2656"/>
      <c r="L33" s="2656"/>
      <c r="M33" s="2656"/>
      <c r="N33" s="2656"/>
      <c r="O33" s="2656"/>
      <c r="P33" s="2656"/>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73"/>
      <c r="C35" s="2656"/>
      <c r="D35" s="2656"/>
      <c r="E35" s="2656"/>
      <c r="F35" s="2656"/>
      <c r="G35" s="2656"/>
      <c r="H35" s="2656"/>
      <c r="I35" s="2656"/>
      <c r="J35" s="2656"/>
      <c r="K35" s="2656"/>
      <c r="L35" s="2656"/>
      <c r="M35" s="2656"/>
      <c r="N35" s="2656"/>
      <c r="O35" s="2656"/>
      <c r="P35" s="2656"/>
      <c r="Q35" s="1401"/>
    </row>
    <row r="36" spans="1:295" ht="12.75" customHeight="1">
      <c r="A36" s="2651" t="s">
        <v>710</v>
      </c>
      <c r="B36" s="4" t="s">
        <v>2558</v>
      </c>
      <c r="C36" s="4"/>
      <c r="D36" s="4"/>
      <c r="E36" s="2656"/>
      <c r="G36" s="555"/>
      <c r="H36" s="555"/>
      <c r="I36" s="555"/>
      <c r="J36" s="42"/>
      <c r="L36" s="556"/>
      <c r="M36" s="556"/>
      <c r="N36" s="556"/>
      <c r="O36" s="130" t="s">
        <v>1781</v>
      </c>
      <c r="P36" s="3963"/>
      <c r="Q36" s="3964"/>
    </row>
    <row r="37" spans="1:295" ht="11.25" customHeight="1">
      <c r="A37" s="4083"/>
      <c r="B37" s="4083"/>
      <c r="C37" s="4083"/>
      <c r="D37" s="4083"/>
      <c r="E37" s="4083"/>
      <c r="F37" s="1324"/>
      <c r="G37" s="4071" t="s">
        <v>2562</v>
      </c>
      <c r="H37" s="4072"/>
      <c r="I37" s="559"/>
      <c r="J37" s="42"/>
      <c r="K37" s="4073" t="s">
        <v>3285</v>
      </c>
      <c r="L37" s="4074"/>
      <c r="M37" s="4074"/>
      <c r="N37" s="4075"/>
    </row>
    <row r="38" spans="1:295" ht="11.25" customHeight="1">
      <c r="A38" s="4083"/>
      <c r="B38" s="4083"/>
      <c r="C38" s="4083"/>
      <c r="D38" s="4083"/>
      <c r="E38" s="4083"/>
      <c r="F38" s="1324"/>
      <c r="G38" s="4076" t="s">
        <v>335</v>
      </c>
      <c r="H38" s="4077"/>
      <c r="I38" s="559"/>
      <c r="J38" s="42"/>
      <c r="K38" s="4034" t="s">
        <v>3286</v>
      </c>
      <c r="L38" s="4035"/>
      <c r="M38" s="4035"/>
      <c r="N38" s="4036"/>
      <c r="P38" s="488" t="s">
        <v>2573</v>
      </c>
      <c r="Q38" s="2489"/>
    </row>
    <row r="39" spans="1:295" ht="4.5" customHeight="1">
      <c r="A39" s="1324"/>
      <c r="B39" s="1324"/>
      <c r="C39" s="1324"/>
      <c r="D39" s="1324"/>
      <c r="E39" s="1324"/>
      <c r="F39" s="1324"/>
      <c r="G39" s="211"/>
      <c r="H39" s="211"/>
      <c r="I39" s="211"/>
      <c r="J39" s="42"/>
      <c r="K39" s="4037"/>
      <c r="L39" s="4037"/>
      <c r="M39" s="4037"/>
      <c r="N39" s="4037"/>
      <c r="P39" s="4080" t="s">
        <v>4134</v>
      </c>
      <c r="Q39" s="4080"/>
    </row>
    <row r="40" spans="1:295" s="82" customFormat="1" ht="10.5" customHeight="1">
      <c r="D40" s="560" t="s">
        <v>2561</v>
      </c>
      <c r="E40" s="35"/>
      <c r="F40" s="561" t="s">
        <v>3188</v>
      </c>
      <c r="G40" s="4038" t="s">
        <v>4078</v>
      </c>
      <c r="H40" s="4038"/>
      <c r="I40" s="4038"/>
      <c r="J40" s="35"/>
      <c r="K40" s="561" t="s">
        <v>3188</v>
      </c>
      <c r="L40" s="4038" t="s">
        <v>4077</v>
      </c>
      <c r="M40" s="4038"/>
      <c r="N40" s="403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7" t="s">
        <v>3118</v>
      </c>
      <c r="B41" s="4047"/>
      <c r="C41" s="4047"/>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23" t="str">
        <f>IF(F41="","",F41*G41)</f>
        <v/>
      </c>
      <c r="J41" s="42"/>
      <c r="K41" s="1322" t="str">
        <f>IF('Part VI-Revenues &amp; Expenses'!$K$148 =0,"",'Part VI-Revenues &amp; Expenses'!$K$148)</f>
        <v/>
      </c>
      <c r="L41" s="756">
        <f>G41*(1+'DCA Underwriting Assumptions'!$Q$12)</f>
        <v>195370.56000000003</v>
      </c>
      <c r="M41" s="40" t="str">
        <f>CONCATENATE("x ", K41," units = ")</f>
        <v xml:space="preserve">x  units = </v>
      </c>
      <c r="N41" s="1323" t="str">
        <f>IF(K41="","",K41*L41)</f>
        <v/>
      </c>
      <c r="O41" s="2656"/>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7"/>
      <c r="B42" s="4047"/>
      <c r="C42" s="4047"/>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23" t="str">
        <f>IF(F42="","",F42*G42)</f>
        <v/>
      </c>
      <c r="J42" s="42"/>
      <c r="K42" s="1322" t="str">
        <f>IF('Part VI-Revenues &amp; Expenses'!$L$148 =0,"",'Part VI-Revenues &amp; Expenses'!$L$148)</f>
        <v/>
      </c>
      <c r="L42" s="756">
        <f>G42*(1+'DCA Underwriting Assumptions'!$Q$12)</f>
        <v>242091.905</v>
      </c>
      <c r="M42" s="40" t="str">
        <f>CONCATENATE("x ", K42," units = ")</f>
        <v xml:space="preserve">x  units = </v>
      </c>
      <c r="N42" s="1323" t="str">
        <f>IF(K42="","",K42*L42)</f>
        <v/>
      </c>
      <c r="O42" s="2656"/>
      <c r="P42" s="4006" t="str">
        <f>IF('Part I-Project Information'!$F$39="","",VLOOKUP('Part I-Project Information'!$J$40,'DCA Underwriting Assumptions'!$G$174:$N$333,8,FALSE))</f>
        <v>Savannah</v>
      </c>
      <c r="Q42" s="400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7"/>
      <c r="B43" s="4047"/>
      <c r="C43" s="4047"/>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23" t="str">
        <f>IF(F43="","",F43*G43)</f>
        <v/>
      </c>
      <c r="J43" s="42"/>
      <c r="K43" s="1322" t="str">
        <f>IF('Part VI-Revenues &amp; Expenses'!$M$148 =0,"",'Part VI-Revenues &amp; Expenses'!$M$148)</f>
        <v/>
      </c>
      <c r="L43" s="756">
        <f>G43*(1+'DCA Underwriting Assumptions'!$Q$12)</f>
        <v>289555.96999999997</v>
      </c>
      <c r="M43" s="40" t="str">
        <f>CONCATENATE("x ", K43," units = ")</f>
        <v xml:space="preserve">x  units = </v>
      </c>
      <c r="N43" s="1323" t="str">
        <f>IF(K43="","",K43*L43)</f>
        <v/>
      </c>
      <c r="O43" s="2656"/>
      <c r="P43" s="4008"/>
      <c r="Q43" s="400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7"/>
      <c r="B44" s="4047"/>
      <c r="C44" s="4047"/>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330073.4800000001</v>
      </c>
      <c r="M44" s="40" t="str">
        <f>CONCATENATE("x ", K44," units = ")</f>
        <v xml:space="preserve">x  units = </v>
      </c>
      <c r="N44" s="1323" t="str">
        <f>IF(K44="","",K44*L44)</f>
        <v/>
      </c>
      <c r="O44" s="2656"/>
      <c r="P44" s="4066" t="s">
        <v>4135</v>
      </c>
      <c r="Q44" s="4066"/>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23" t="str">
        <f>IF(F45="","",F45*G45)</f>
        <v/>
      </c>
      <c r="J45" s="42"/>
      <c r="K45" s="1322" t="str">
        <f>IF('Part VI-Revenues &amp; Expenses'!$O$148 =0,"",'Part VI-Revenues &amp; Expenses'!$O$148)</f>
        <v/>
      </c>
      <c r="L45" s="756">
        <f>G45*(1+'DCA Underwriting Assumptions'!$Q$12)</f>
        <v>388791.15</v>
      </c>
      <c r="M45" s="40" t="str">
        <f>CONCATENATE("x ", K45," units = ")</f>
        <v xml:space="preserve">x  units = </v>
      </c>
      <c r="N45" s="1323" t="str">
        <f>IF(K45="","",K45*L45)</f>
        <v/>
      </c>
      <c r="O45" s="2656"/>
      <c r="P45" s="4078">
        <f>'Part IV-A-Uses of Funds'!$G$146</f>
        <v>15931770.43</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6"/>
      <c r="P46" s="4066" t="s">
        <v>4121</v>
      </c>
      <c r="Q46" s="4066"/>
      <c r="R46" s="4082" t="s">
        <v>6611</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5"/>
      <c r="J47" s="126"/>
      <c r="K47" s="563"/>
      <c r="L47" s="126"/>
      <c r="M47" s="2656"/>
      <c r="N47" s="2655"/>
      <c r="O47" s="2656"/>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7" t="s">
        <v>3113</v>
      </c>
      <c r="B48" s="4047"/>
      <c r="C48" s="4047"/>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23" t="str">
        <f>IF(F48="","",F48*G48)</f>
        <v/>
      </c>
      <c r="J48" s="42"/>
      <c r="K48" s="1322" t="str">
        <f>IF('Part VI-Revenues &amp; Expenses'!$K$150 =0,"",'Part VI-Revenues &amp; Expenses'!$K$150)</f>
        <v/>
      </c>
      <c r="L48" s="756">
        <f>G48*(1+'DCA Underwriting Assumptions'!$Q$12)</f>
        <v>168729</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15208703</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7"/>
      <c r="B49" s="4047"/>
      <c r="C49" s="4047"/>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210962.785</v>
      </c>
      <c r="M49" s="40" t="str">
        <f>CONCATENATE("x ", K49," units = ")</f>
        <v xml:space="preserve">x  units = </v>
      </c>
      <c r="N49" s="1323" t="str">
        <f>IF(K49="","",K49*L49)</f>
        <v/>
      </c>
      <c r="P49" s="4010" t="s">
        <v>3512</v>
      </c>
      <c r="Q49" s="401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7"/>
      <c r="B50" s="4047"/>
      <c r="C50" s="4047"/>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255466.75</v>
      </c>
      <c r="M50" s="40" t="str">
        <f>CONCATENATE("x ", K50," units = ")</f>
        <v xml:space="preserve">x  units = </v>
      </c>
      <c r="N50" s="1323" t="str">
        <f>IF(K50="","",K50*L50)</f>
        <v/>
      </c>
      <c r="O50" s="514"/>
      <c r="P50" s="4011"/>
      <c r="Q50" s="4012"/>
      <c r="R50" s="396"/>
      <c r="S50" s="3977" t="s">
        <v>4124</v>
      </c>
      <c r="T50" s="3978"/>
      <c r="U50" s="3978"/>
      <c r="V50" s="3979"/>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297954.03000000009</v>
      </c>
      <c r="M51" s="40" t="str">
        <f>CONCATENATE("x ", K51," units = ")</f>
        <v xml:space="preserve">x  units = </v>
      </c>
      <c r="N51" s="1323" t="str">
        <f>IF(K51="","",K51*L51)</f>
        <v/>
      </c>
      <c r="O51" s="514"/>
      <c r="P51" s="4013"/>
      <c r="Q51" s="4014"/>
      <c r="S51" s="3980"/>
      <c r="T51" s="3981"/>
      <c r="U51" s="3981"/>
      <c r="V51" s="3982"/>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352907.39000000007</v>
      </c>
      <c r="M52" s="40" t="str">
        <f>CONCATENATE("x ", K52," units = ")</f>
        <v xml:space="preserve">x  units = </v>
      </c>
      <c r="N52" s="1323" t="str">
        <f>IF(K52="","",K52*L52)</f>
        <v/>
      </c>
      <c r="O52" s="514"/>
      <c r="P52" s="4039" t="s">
        <v>3281</v>
      </c>
      <c r="Q52" s="4039"/>
      <c r="S52" s="3980"/>
      <c r="T52" s="3981"/>
      <c r="U52" s="3981"/>
      <c r="V52" s="3982"/>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80"/>
      <c r="T53" s="3981"/>
      <c r="U53" s="3981"/>
      <c r="V53" s="3982"/>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5"/>
      <c r="J54" s="35"/>
      <c r="K54" s="563"/>
      <c r="L54" s="35"/>
      <c r="M54" s="2656"/>
      <c r="N54" s="2655"/>
      <c r="O54" s="514"/>
      <c r="R54" s="396"/>
      <c r="S54" s="3980"/>
      <c r="T54" s="3981"/>
      <c r="U54" s="3981"/>
      <c r="V54" s="3982"/>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151369.68</v>
      </c>
      <c r="M55" s="40" t="str">
        <f>CONCATENATE("x ", K55," units = ")</f>
        <v xml:space="preserve">x  units = </v>
      </c>
      <c r="N55" s="1323" t="str">
        <f>IF(K55="","",K55*L55)</f>
        <v/>
      </c>
      <c r="O55" s="514"/>
      <c r="P55" s="953">
        <f>'Part IX Scoring Criteria'!O330</f>
        <v>0</v>
      </c>
      <c r="Q55" s="953">
        <f>'Part IX Scoring Criteria'!P330</f>
        <v>0</v>
      </c>
      <c r="R55" s="396"/>
      <c r="S55" s="3980"/>
      <c r="T55" s="3981"/>
      <c r="U55" s="3981"/>
      <c r="V55" s="3982"/>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16</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16 units = </v>
      </c>
      <c r="I56" s="1323">
        <f>IF(F56="","",F56*G56)</f>
        <v>2877484</v>
      </c>
      <c r="J56" s="42"/>
      <c r="K56" s="1322" t="str">
        <f>IF('Part VI-Revenues &amp; Expenses'!$L$152 =0,"",'Part VI-Revenues &amp; Expenses'!$L$152)</f>
        <v/>
      </c>
      <c r="L56" s="756">
        <f>G56*(1+'DCA Underwriting Assumptions'!$Q$12)</f>
        <v>197827.02500000002</v>
      </c>
      <c r="M56" s="40" t="str">
        <f>CONCATENATE("x ", K56," units = ")</f>
        <v xml:space="preserve">x  units = </v>
      </c>
      <c r="N56" s="1323" t="str">
        <f>IF(K56="","",K56*L56)</f>
        <v/>
      </c>
      <c r="P56" s="4039" t="s">
        <v>3282</v>
      </c>
      <c r="Q56" s="4039"/>
      <c r="S56" s="3980"/>
      <c r="T56" s="3981"/>
      <c r="U56" s="3981"/>
      <c r="V56" s="3982"/>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40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40 units = </v>
      </c>
      <c r="I57" s="1323">
        <f>IF(F57="","",F57*G57)</f>
        <v>9106022</v>
      </c>
      <c r="J57" s="42"/>
      <c r="K57" s="1322" t="str">
        <f>IF('Part VI-Revenues &amp; Expenses'!$M$152 =0,"",'Part VI-Revenues &amp; Expenses'!$M$152)</f>
        <v/>
      </c>
      <c r="L57" s="756">
        <f>G57*(1+'DCA Underwriting Assumptions'!$Q$12)</f>
        <v>250415.60500000001</v>
      </c>
      <c r="M57" s="40" t="str">
        <f>CONCATENATE("x ", K57," units = ")</f>
        <v xml:space="preserve">x  units = </v>
      </c>
      <c r="N57" s="1323" t="str">
        <f>IF(K57="","",K57*L57)</f>
        <v/>
      </c>
      <c r="P57" s="954" t="s">
        <v>3009</v>
      </c>
      <c r="Q57" s="954" t="s">
        <v>245</v>
      </c>
      <c r="S57" s="3980"/>
      <c r="T57" s="3981"/>
      <c r="U57" s="3981"/>
      <c r="V57" s="3982"/>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16 units = </v>
      </c>
      <c r="I58" s="1323">
        <f>IF(F58="","",F58*G58)</f>
        <v>4589974.4000000004</v>
      </c>
      <c r="J58" s="42"/>
      <c r="K58" s="1322" t="str">
        <f>IF('Part VI-Revenues &amp; Expenses'!$N$152 =0,"",'Part VI-Revenues &amp; Expenses'!$N$152)</f>
        <v/>
      </c>
      <c r="L58" s="756">
        <f>G58*(1+'DCA Underwriting Assumptions'!$Q$12)</f>
        <v>315560.74000000005</v>
      </c>
      <c r="M58" s="40" t="str">
        <f>CONCATENATE("x ", K58," units = ")</f>
        <v xml:space="preserve">x  units = </v>
      </c>
      <c r="N58" s="1323" t="str">
        <f>IF(K58="","",K58*L58)</f>
        <v/>
      </c>
      <c r="O58" s="514"/>
      <c r="P58" s="953">
        <f>'Part IX Scoring Criteria'!O108</f>
        <v>3</v>
      </c>
      <c r="Q58" s="953">
        <f>'Part IX Scoring Criteria'!P108</f>
        <v>0</v>
      </c>
      <c r="S58" s="3980"/>
      <c r="T58" s="3981"/>
      <c r="U58" s="3981"/>
      <c r="V58" s="3982"/>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390879.61000000004</v>
      </c>
      <c r="M59" s="40" t="str">
        <f>CONCATENATE("x ", K59," units = ")</f>
        <v xml:space="preserve">x  units = </v>
      </c>
      <c r="N59" s="1323" t="str">
        <f>IF(K59="","",K59*L59)</f>
        <v/>
      </c>
      <c r="O59" s="514"/>
      <c r="P59" s="4040" t="s">
        <v>2597</v>
      </c>
      <c r="Q59" s="4040"/>
      <c r="S59" s="3980"/>
      <c r="T59" s="3981"/>
      <c r="U59" s="3981"/>
      <c r="V59" s="3982"/>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72</v>
      </c>
      <c r="G60" s="562"/>
      <c r="H60" s="947"/>
      <c r="I60" s="948">
        <f>SUM(I55:I59)</f>
        <v>16573480.4</v>
      </c>
      <c r="J60" s="949"/>
      <c r="K60" s="946">
        <f>SUM(K55:K59)</f>
        <v>0</v>
      </c>
      <c r="L60" s="949"/>
      <c r="M60" s="947"/>
      <c r="N60" s="948">
        <f>SUM(N55:N59)</f>
        <v>0</v>
      </c>
      <c r="O60" s="514"/>
      <c r="P60" s="4040"/>
      <c r="Q60" s="4040"/>
      <c r="S60" s="3980"/>
      <c r="T60" s="3981"/>
      <c r="U60" s="3981"/>
      <c r="V60" s="3982"/>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5"/>
      <c r="J61" s="35"/>
      <c r="K61" s="563"/>
      <c r="L61" s="35"/>
      <c r="M61" s="2656"/>
      <c r="N61" s="2655"/>
      <c r="O61" s="514"/>
      <c r="P61" s="4040"/>
      <c r="Q61" s="4040"/>
      <c r="R61" s="396"/>
      <c r="S61" s="3980"/>
      <c r="T61" s="3981"/>
      <c r="U61" s="3981"/>
      <c r="V61" s="3982"/>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23" t="str">
        <f>IF(F62="","",F62*G62)</f>
        <v/>
      </c>
      <c r="J62" s="42"/>
      <c r="K62" s="1322" t="str">
        <f>IF('Part VI-Revenues &amp; Expenses'!$K$154 =0,"",'Part VI-Revenues &amp; Expenses'!$K$154)</f>
        <v/>
      </c>
      <c r="L62" s="756">
        <f>G62*(1+'DCA Underwriting Assumptions'!$Q$12)</f>
        <v>152302.91999999998</v>
      </c>
      <c r="M62" s="40" t="str">
        <f>CONCATENATE("x ", K62," units = ")</f>
        <v xml:space="preserve">x  units = </v>
      </c>
      <c r="N62" s="1323" t="str">
        <f>IF(K62="","",K62*L62)</f>
        <v/>
      </c>
      <c r="O62" s="514"/>
      <c r="P62" s="4041"/>
      <c r="Q62" s="4041"/>
      <c r="R62" s="396"/>
      <c r="S62" s="3983"/>
      <c r="T62" s="3984"/>
      <c r="U62" s="3984"/>
      <c r="V62" s="3985"/>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204339.245</v>
      </c>
      <c r="M63" s="40" t="str">
        <f>CONCATENATE("x ", K63," units = ")</f>
        <v xml:space="preserve">x  units = </v>
      </c>
      <c r="N63" s="1323" t="str">
        <f>IF(K63="","",K63*L63)</f>
        <v/>
      </c>
      <c r="O63" s="514"/>
      <c r="P63" s="4042">
        <f>IF(P50&gt;1,P50, IF(OR('Part IX Scoring Criteria'!$O$108='Part IX Scoring Criteria'!$M$108,AND('Part IV-A-Uses of Funds'!$T$185="Yes",'Part IX Scoring Criteria'!$O$330&gt;0)),H69+M69,H69))</f>
        <v>16573480.4</v>
      </c>
      <c r="Q63" s="404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262721.52499999997</v>
      </c>
      <c r="M64" s="40" t="str">
        <f>CONCATENATE("x ", K64," units = ")</f>
        <v xml:space="preserve">x  units = </v>
      </c>
      <c r="N64" s="1323" t="str">
        <f>IF(K64="","",K64*L64)</f>
        <v/>
      </c>
      <c r="P64" s="4044"/>
      <c r="Q64" s="404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335064.7300000001</v>
      </c>
      <c r="M65" s="40" t="str">
        <f>CONCATENATE("x ", K65," units = ")</f>
        <v xml:space="preserve">x  units = </v>
      </c>
      <c r="N65" s="1323" t="str">
        <f>IF(K65="","",K65*L65)</f>
        <v/>
      </c>
      <c r="P65" s="3990" t="s">
        <v>3601</v>
      </c>
      <c r="Q65" s="3990"/>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23" t="str">
        <f>IF(F66="","",F66*G66)</f>
        <v/>
      </c>
      <c r="J66" s="42"/>
      <c r="K66" s="1322" t="str">
        <f>IF('Part VI-Revenues &amp; Expenses'!$O$154 =0,"",'Part VI-Revenues &amp; Expenses'!$O$154)</f>
        <v/>
      </c>
      <c r="L66" s="756">
        <f>G66*(1+'DCA Underwriting Assumptions'!$Q$12)</f>
        <v>418831.82000000007</v>
      </c>
      <c r="M66" s="40" t="str">
        <f>CONCATENATE("x ", K66," units = ")</f>
        <v xml:space="preserve">x  units = </v>
      </c>
      <c r="N66" s="1323" t="str">
        <f>IF(K66="","",K66*L66)</f>
        <v/>
      </c>
      <c r="O66" s="514"/>
      <c r="P66" s="3991"/>
      <c r="Q66" s="3991"/>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3991"/>
      <c r="Q67" s="3991"/>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2"/>
      <c r="O68" s="514"/>
      <c r="P68" s="3991"/>
      <c r="Q68" s="3991"/>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72</v>
      </c>
      <c r="G69" s="324"/>
      <c r="H69" s="4084">
        <f>I46+I53+I60+I67</f>
        <v>16573480.4</v>
      </c>
      <c r="I69" s="4084"/>
      <c r="J69" s="4084"/>
      <c r="K69" s="553">
        <f>K46+K53+K60+K67</f>
        <v>0</v>
      </c>
      <c r="L69" s="554"/>
      <c r="M69" s="4084">
        <f>N46+N53+N60+N67</f>
        <v>0</v>
      </c>
      <c r="N69" s="4084"/>
      <c r="O69" s="4084"/>
      <c r="P69" s="3991"/>
      <c r="Q69" s="3991"/>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3"/>
      <c r="J70" s="2673"/>
      <c r="K70" s="135" t="s">
        <v>1780</v>
      </c>
      <c r="L70" s="1401"/>
      <c r="M70" s="1401"/>
      <c r="N70" s="1401"/>
      <c r="O70" s="1401"/>
      <c r="P70" s="3992"/>
      <c r="Q70" s="3992"/>
    </row>
    <row r="71" spans="1:295" ht="10.5" customHeight="1">
      <c r="A71" s="3965" t="s">
        <v>6985</v>
      </c>
      <c r="B71" s="3966"/>
      <c r="C71" s="3966"/>
      <c r="D71" s="3966"/>
      <c r="E71" s="3966"/>
      <c r="F71" s="3966"/>
      <c r="G71" s="3966"/>
      <c r="H71" s="3966"/>
      <c r="I71" s="3966"/>
      <c r="J71" s="3967"/>
      <c r="K71" s="3972"/>
      <c r="L71" s="3973"/>
      <c r="M71" s="3973"/>
      <c r="N71" s="3973"/>
      <c r="O71" s="3973"/>
      <c r="P71" s="3973"/>
      <c r="Q71" s="3974"/>
      <c r="R71" s="427" t="s">
        <v>1208</v>
      </c>
      <c r="U71" s="134"/>
      <c r="V71" s="134"/>
      <c r="W71" s="134"/>
      <c r="X71" s="134"/>
      <c r="Y71" s="134"/>
      <c r="Z71" s="134"/>
      <c r="AA71" s="134"/>
      <c r="AB71" s="134"/>
      <c r="AC71" s="134"/>
      <c r="AD71" s="134"/>
      <c r="AE71" s="441"/>
    </row>
    <row r="72" spans="1:295" ht="3" customHeight="1">
      <c r="B72" s="2673"/>
      <c r="C72" s="2656"/>
      <c r="D72" s="2656"/>
      <c r="E72" s="2656"/>
      <c r="F72" s="2656"/>
      <c r="G72" s="2656"/>
      <c r="H72" s="2656"/>
      <c r="I72" s="2656"/>
      <c r="J72" s="2656"/>
      <c r="K72" s="2656"/>
      <c r="L72" s="2656"/>
      <c r="M72" s="2656"/>
      <c r="N72" s="2656"/>
      <c r="O72" s="2656"/>
      <c r="P72" s="2656"/>
      <c r="Q72" s="1401"/>
    </row>
    <row r="73" spans="1:295" ht="12.75" customHeight="1">
      <c r="A73" s="2651" t="s">
        <v>712</v>
      </c>
      <c r="B73" s="4" t="s">
        <v>1146</v>
      </c>
      <c r="C73" s="4"/>
      <c r="D73" s="4"/>
      <c r="E73" s="2656"/>
      <c r="F73" s="2656"/>
      <c r="O73" s="130" t="s">
        <v>1781</v>
      </c>
      <c r="P73" s="3963"/>
      <c r="Q73" s="3964"/>
    </row>
    <row r="74" spans="1:295" ht="12.75" customHeight="1">
      <c r="A74" s="2651"/>
      <c r="B74" s="138" t="s">
        <v>6433</v>
      </c>
      <c r="C74" s="4"/>
      <c r="D74" s="4"/>
      <c r="E74" s="2656"/>
      <c r="F74" s="2656"/>
      <c r="G74" s="956" t="str">
        <f>'Part I-Project Information'!$H$77</f>
        <v>Family</v>
      </c>
      <c r="H74" s="2656"/>
      <c r="J74" s="1663" t="str">
        <f>IF(OR(G74="Other Senior/Elderly",G74= "Other Non-Senior"),'Part I-Project Information'!$M$77,"")</f>
        <v/>
      </c>
      <c r="K74" s="956"/>
      <c r="O74" s="130"/>
      <c r="P74" s="130"/>
      <c r="Q74" s="130"/>
    </row>
    <row r="75" spans="1:295" ht="12.75" customHeight="1">
      <c r="A75" s="2651"/>
      <c r="B75" s="138" t="s">
        <v>6434</v>
      </c>
      <c r="C75" s="4"/>
      <c r="D75" s="4"/>
      <c r="E75" s="2656"/>
      <c r="F75" s="2656"/>
      <c r="G75" s="956" t="str">
        <f>'Part I-Project Information'!$H$82</f>
        <v>&lt;&lt; Select CURRENT Tenancy &gt;&gt;</v>
      </c>
      <c r="H75" s="2656"/>
      <c r="J75" s="1663" t="str">
        <f>IF(OR(G75="Other Senior/Elderly",G75= "Other Non-Senior"),'Part I-Project Information'!$M$77,"")</f>
        <v/>
      </c>
      <c r="K75" s="956"/>
      <c r="O75" s="130"/>
      <c r="P75" s="130"/>
      <c r="Q75" s="130"/>
    </row>
    <row r="76" spans="1:295" ht="10.5" customHeight="1">
      <c r="B76" s="94" t="s">
        <v>3371</v>
      </c>
      <c r="D76" s="94"/>
      <c r="E76" s="94"/>
      <c r="F76" s="94"/>
      <c r="G76" s="94"/>
      <c r="H76" s="40"/>
      <c r="I76" s="2673"/>
      <c r="J76" s="2673"/>
      <c r="K76" s="135" t="s">
        <v>1780</v>
      </c>
      <c r="L76" s="1401"/>
      <c r="M76" s="1401"/>
      <c r="N76" s="1401"/>
      <c r="O76" s="1401"/>
      <c r="P76" s="1401"/>
      <c r="Q76" s="782"/>
    </row>
    <row r="77" spans="1:295" ht="10.5" customHeight="1">
      <c r="A77" s="3965" t="s">
        <v>6926</v>
      </c>
      <c r="B77" s="3966"/>
      <c r="C77" s="3966"/>
      <c r="D77" s="3966"/>
      <c r="E77" s="3966"/>
      <c r="F77" s="3966"/>
      <c r="G77" s="3966"/>
      <c r="H77" s="3966"/>
      <c r="I77" s="3966"/>
      <c r="J77" s="3967"/>
      <c r="K77" s="3972"/>
      <c r="L77" s="3973"/>
      <c r="M77" s="3973"/>
      <c r="N77" s="3973"/>
      <c r="O77" s="3973"/>
      <c r="P77" s="3973"/>
      <c r="Q77" s="3974"/>
      <c r="R77" s="427" t="s">
        <v>1208</v>
      </c>
      <c r="U77" s="134"/>
      <c r="V77" s="134"/>
      <c r="W77" s="134"/>
      <c r="X77" s="134"/>
      <c r="Y77" s="134"/>
      <c r="Z77" s="134"/>
      <c r="AA77" s="134"/>
      <c r="AB77" s="134"/>
      <c r="AC77" s="134"/>
      <c r="AD77" s="134"/>
      <c r="AE77" s="441"/>
    </row>
    <row r="78" spans="1:295" ht="3" customHeight="1">
      <c r="A78" s="1401"/>
      <c r="B78" s="2673"/>
      <c r="C78" s="2656"/>
      <c r="D78" s="2656"/>
      <c r="E78" s="2656"/>
      <c r="F78" s="2656"/>
      <c r="G78" s="2656"/>
      <c r="H78" s="2656"/>
      <c r="I78" s="2656"/>
      <c r="J78" s="2656"/>
      <c r="K78" s="2656"/>
      <c r="L78" s="2656"/>
      <c r="M78" s="2656"/>
      <c r="N78" s="2656"/>
      <c r="O78" s="2656"/>
      <c r="P78" s="2656"/>
      <c r="Q78" s="1401"/>
    </row>
    <row r="79" spans="1:295" ht="12.75" customHeight="1">
      <c r="A79" s="2651" t="s">
        <v>1711</v>
      </c>
      <c r="B79" s="2651" t="s">
        <v>2511</v>
      </c>
      <c r="C79" s="112"/>
      <c r="D79" s="2656"/>
      <c r="E79" s="2656"/>
      <c r="F79" s="2656"/>
      <c r="G79" s="2656"/>
      <c r="H79" s="2656"/>
      <c r="I79" s="2656"/>
      <c r="J79" s="2656"/>
      <c r="L79" s="1399" t="s">
        <v>3949</v>
      </c>
      <c r="M79" s="1400" t="s">
        <v>3950</v>
      </c>
      <c r="O79" s="130" t="s">
        <v>1781</v>
      </c>
      <c r="P79" s="3963"/>
      <c r="Q79" s="3964"/>
    </row>
    <row r="80" spans="1:295" ht="1.5" customHeight="1"/>
    <row r="81" spans="1:31" ht="12" customHeight="1">
      <c r="A81" s="140" t="s">
        <v>1893</v>
      </c>
      <c r="B81" s="4086" t="s">
        <v>3943</v>
      </c>
      <c r="C81" s="4086"/>
      <c r="D81" s="4086"/>
      <c r="E81" s="4086"/>
      <c r="F81" s="4086"/>
      <c r="G81" s="4086"/>
      <c r="H81" s="4086"/>
      <c r="I81" s="4086"/>
      <c r="J81" s="4086"/>
      <c r="K81" s="146"/>
      <c r="L81" s="420" t="s">
        <v>2698</v>
      </c>
      <c r="M81" s="1289">
        <v>2</v>
      </c>
      <c r="N81" s="382" t="s">
        <v>4225</v>
      </c>
      <c r="P81" s="4063" t="s">
        <v>6927</v>
      </c>
      <c r="Q81" s="4168"/>
    </row>
    <row r="82" spans="1:31" ht="12" customHeight="1">
      <c r="A82" s="140"/>
      <c r="B82" s="4086"/>
      <c r="C82" s="4086"/>
      <c r="D82" s="4086"/>
      <c r="E82" s="4086"/>
      <c r="F82" s="4086"/>
      <c r="G82" s="4086"/>
      <c r="H82" s="4086"/>
      <c r="I82" s="4086"/>
      <c r="J82" s="4086"/>
      <c r="K82" s="146"/>
      <c r="L82" s="420" t="s">
        <v>3948</v>
      </c>
      <c r="M82" s="1290">
        <v>4</v>
      </c>
      <c r="O82" s="141"/>
      <c r="P82" s="4064"/>
      <c r="Q82" s="4169"/>
    </row>
    <row r="83" spans="1:31" ht="12" customHeight="1">
      <c r="A83" s="140"/>
      <c r="D83" s="2654"/>
      <c r="E83" s="2654"/>
      <c r="F83" s="2654"/>
      <c r="G83" s="2654"/>
      <c r="H83" s="2654"/>
      <c r="I83" s="2654"/>
      <c r="J83" s="2654"/>
      <c r="K83" s="146"/>
      <c r="L83" s="451" t="s">
        <v>6411</v>
      </c>
      <c r="M83" s="1290"/>
      <c r="O83" s="141"/>
      <c r="P83" s="2491">
        <v>2</v>
      </c>
      <c r="Q83" s="2952"/>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4226</v>
      </c>
      <c r="O85" s="817"/>
      <c r="P85" s="2492" t="s">
        <v>6928</v>
      </c>
      <c r="Q85" s="2953"/>
    </row>
    <row r="86" spans="1:31" ht="12.75" customHeight="1">
      <c r="A86" s="1254"/>
      <c r="B86" s="1305" t="s">
        <v>1659</v>
      </c>
      <c r="C86" s="382" t="s">
        <v>3952</v>
      </c>
      <c r="D86" s="1256"/>
      <c r="E86" s="1256"/>
      <c r="F86" s="1256"/>
      <c r="G86" s="1256"/>
      <c r="H86" s="1256"/>
      <c r="I86" s="1256"/>
      <c r="J86" s="1256"/>
      <c r="K86" s="1255"/>
      <c r="L86" s="816"/>
      <c r="N86" s="382" t="s">
        <v>4227</v>
      </c>
      <c r="O86" s="817"/>
      <c r="P86" s="2667" t="s">
        <v>6927</v>
      </c>
      <c r="Q86" s="2954"/>
    </row>
    <row r="87" spans="1:31" ht="12.75" customHeight="1">
      <c r="A87" s="1253"/>
      <c r="B87" s="451" t="s">
        <v>1660</v>
      </c>
      <c r="C87" s="382" t="s">
        <v>3953</v>
      </c>
      <c r="E87" s="1256"/>
      <c r="F87" s="1256"/>
      <c r="G87" s="1256"/>
      <c r="H87" s="1256"/>
      <c r="I87" s="1256"/>
      <c r="J87" s="1256"/>
      <c r="K87" s="1255"/>
      <c r="L87" s="816"/>
      <c r="M87" s="817"/>
      <c r="N87" s="382" t="s">
        <v>4228</v>
      </c>
      <c r="O87" s="817"/>
      <c r="P87" s="2667" t="s">
        <v>6927</v>
      </c>
      <c r="Q87" s="2954"/>
    </row>
    <row r="88" spans="1:31" ht="12.75" customHeight="1">
      <c r="A88" s="142"/>
      <c r="B88" s="451" t="s">
        <v>2260</v>
      </c>
      <c r="C88" s="451" t="s">
        <v>3956</v>
      </c>
      <c r="D88" s="132"/>
      <c r="E88" s="132"/>
      <c r="F88" s="132"/>
      <c r="G88" s="132"/>
      <c r="H88" s="132"/>
      <c r="I88" s="42"/>
      <c r="J88" s="42"/>
      <c r="N88" s="382" t="s">
        <v>4229</v>
      </c>
      <c r="O88" s="817"/>
      <c r="P88" s="2672" t="s">
        <v>6929</v>
      </c>
      <c r="Q88" s="2955"/>
    </row>
    <row r="89" spans="1:31" ht="12.75" customHeight="1">
      <c r="A89" s="142"/>
      <c r="B89" s="451"/>
      <c r="C89" s="382" t="s">
        <v>3957</v>
      </c>
      <c r="D89" s="132"/>
      <c r="E89" s="132"/>
      <c r="F89" s="132"/>
      <c r="G89" s="132"/>
      <c r="H89" s="132"/>
      <c r="I89" s="42"/>
      <c r="J89" s="42"/>
      <c r="L89" s="3997"/>
      <c r="M89" s="3998"/>
      <c r="N89" s="3998"/>
      <c r="O89" s="3998"/>
      <c r="P89" s="3998"/>
      <c r="Q89" s="3999"/>
    </row>
    <row r="90" spans="1:31" ht="12.75" customHeight="1">
      <c r="A90" s="142"/>
      <c r="B90" s="451" t="s">
        <v>1487</v>
      </c>
      <c r="C90" s="4086" t="s">
        <v>3954</v>
      </c>
      <c r="D90" s="4086"/>
      <c r="E90" s="4086"/>
      <c r="F90" s="4086"/>
      <c r="G90" s="4086"/>
      <c r="H90" s="4086"/>
      <c r="I90" s="4086"/>
      <c r="J90" s="4086"/>
      <c r="K90" s="4086"/>
      <c r="L90" s="4086"/>
      <c r="M90" s="494"/>
      <c r="N90" s="382" t="s">
        <v>4230</v>
      </c>
      <c r="O90" s="817"/>
      <c r="P90" s="2493" t="s">
        <v>6927</v>
      </c>
      <c r="Q90" s="2956"/>
    </row>
    <row r="91" spans="1:31" ht="12.75" customHeight="1">
      <c r="A91" s="47"/>
      <c r="C91" s="4086"/>
      <c r="D91" s="4086"/>
      <c r="E91" s="4086"/>
      <c r="F91" s="4086"/>
      <c r="G91" s="4086"/>
      <c r="H91" s="4086"/>
      <c r="I91" s="4086"/>
      <c r="J91" s="4086"/>
      <c r="K91" s="4086"/>
      <c r="L91" s="4086"/>
      <c r="M91" s="494"/>
    </row>
    <row r="92" spans="1:31" ht="10.5" customHeight="1">
      <c r="B92" s="94" t="s">
        <v>3371</v>
      </c>
      <c r="D92" s="94"/>
      <c r="E92" s="94"/>
      <c r="F92" s="94"/>
      <c r="G92" s="94"/>
      <c r="H92" s="40"/>
      <c r="I92" s="2673"/>
      <c r="J92" s="2673"/>
      <c r="K92" s="135" t="s">
        <v>1780</v>
      </c>
      <c r="L92" s="1401"/>
      <c r="M92" s="1401"/>
      <c r="N92" s="1401"/>
      <c r="O92" s="1401"/>
      <c r="P92" s="1401"/>
      <c r="Q92" s="782"/>
    </row>
    <row r="93" spans="1:31" ht="24" customHeight="1">
      <c r="A93" s="3965" t="s">
        <v>7007</v>
      </c>
      <c r="B93" s="3966"/>
      <c r="C93" s="3966"/>
      <c r="D93" s="3966"/>
      <c r="E93" s="3966"/>
      <c r="F93" s="3966"/>
      <c r="G93" s="3966"/>
      <c r="H93" s="3966"/>
      <c r="I93" s="3966"/>
      <c r="J93" s="3967"/>
      <c r="K93" s="3972"/>
      <c r="L93" s="3973"/>
      <c r="M93" s="3973"/>
      <c r="N93" s="3973"/>
      <c r="O93" s="3973"/>
      <c r="P93" s="3973"/>
      <c r="Q93" s="3974"/>
      <c r="R93" s="427" t="s">
        <v>1208</v>
      </c>
      <c r="U93" s="134"/>
      <c r="V93" s="134"/>
      <c r="W93" s="134"/>
      <c r="X93" s="134"/>
      <c r="Y93" s="134"/>
      <c r="Z93" s="134"/>
      <c r="AA93" s="134"/>
      <c r="AB93" s="134"/>
      <c r="AC93" s="134"/>
      <c r="AD93" s="134"/>
      <c r="AE93" s="441"/>
    </row>
    <row r="94" spans="1:31" ht="3" customHeight="1">
      <c r="A94" s="1401"/>
      <c r="B94" s="2673"/>
      <c r="C94" s="2656"/>
      <c r="D94" s="2656"/>
      <c r="E94" s="2656"/>
      <c r="F94" s="2656"/>
      <c r="G94" s="2656"/>
      <c r="H94" s="2656"/>
      <c r="I94" s="2656"/>
      <c r="J94" s="2656"/>
      <c r="K94" s="2656"/>
      <c r="L94" s="2656"/>
      <c r="M94" s="2656"/>
      <c r="N94" s="2656"/>
      <c r="O94" s="2656"/>
      <c r="P94" s="2656"/>
      <c r="Q94" s="1401"/>
    </row>
    <row r="95" spans="1:31" ht="14.1" customHeight="1">
      <c r="A95" s="2651" t="s">
        <v>1713</v>
      </c>
      <c r="B95" s="2651" t="s">
        <v>4221</v>
      </c>
      <c r="C95" s="2651"/>
      <c r="D95" s="2656"/>
      <c r="E95" s="2656"/>
      <c r="F95" s="2656"/>
      <c r="G95" s="2656"/>
      <c r="H95" s="1409" t="str">
        <f>'Part I-Project Information'!$K$41</f>
        <v>Urban</v>
      </c>
      <c r="J95" s="47" t="s">
        <v>4224</v>
      </c>
      <c r="K95" s="557" t="str">
        <f>'Part I-Project Information'!$H$105</f>
        <v>Other Metro</v>
      </c>
      <c r="L95" s="63" t="s">
        <v>3986</v>
      </c>
      <c r="M95" s="1292" t="str">
        <f>'Part I-Project Information'!$H$77</f>
        <v>Family</v>
      </c>
      <c r="O95" s="130" t="s">
        <v>1781</v>
      </c>
      <c r="P95" s="3963"/>
      <c r="Q95" s="3964"/>
    </row>
    <row r="96" spans="1:31" ht="3" customHeight="1"/>
    <row r="97" spans="1:32" ht="12.75" customHeight="1">
      <c r="A97" s="47" t="s">
        <v>1893</v>
      </c>
      <c r="B97" s="39" t="s">
        <v>2348</v>
      </c>
      <c r="D97" s="132"/>
      <c r="E97" s="132"/>
      <c r="F97" s="132"/>
      <c r="G97" s="132"/>
      <c r="H97" s="132"/>
      <c r="I97" s="42"/>
      <c r="J97" s="42"/>
      <c r="K97" s="42"/>
      <c r="L97" s="439" t="s">
        <v>1893</v>
      </c>
      <c r="M97" s="3956" t="s">
        <v>6930</v>
      </c>
      <c r="N97" s="3957"/>
      <c r="O97" s="3957"/>
      <c r="P97" s="4093"/>
      <c r="Q97" s="2953"/>
    </row>
    <row r="98" spans="1:32" ht="12.75" customHeight="1">
      <c r="A98" s="47" t="s">
        <v>1895</v>
      </c>
      <c r="B98" s="52" t="s">
        <v>4147</v>
      </c>
      <c r="D98" s="132"/>
      <c r="E98" s="132"/>
      <c r="F98" s="132"/>
      <c r="L98" s="439" t="s">
        <v>1895</v>
      </c>
      <c r="M98" s="4060" t="s">
        <v>6931</v>
      </c>
      <c r="N98" s="4061"/>
      <c r="O98" s="4061"/>
      <c r="P98" s="4062"/>
      <c r="Q98" s="2954"/>
    </row>
    <row r="99" spans="1:32" ht="12.75" customHeight="1">
      <c r="A99" s="47" t="s">
        <v>719</v>
      </c>
      <c r="B99" s="52" t="s">
        <v>2671</v>
      </c>
      <c r="D99" s="132"/>
      <c r="E99" s="132"/>
      <c r="F99" s="132"/>
      <c r="L99" s="439" t="s">
        <v>719</v>
      </c>
      <c r="M99" s="3986">
        <v>0.996</v>
      </c>
      <c r="N99" s="3987"/>
      <c r="O99" s="3987"/>
      <c r="P99" s="3988"/>
      <c r="Q99" s="2954"/>
    </row>
    <row r="100" spans="1:32" ht="12.75" customHeight="1">
      <c r="A100" s="47" t="s">
        <v>2021</v>
      </c>
      <c r="B100" s="52" t="s">
        <v>3443</v>
      </c>
      <c r="D100" s="132"/>
      <c r="E100" s="132"/>
      <c r="F100" s="132"/>
      <c r="J100" s="439" t="s">
        <v>3444</v>
      </c>
      <c r="K100" s="2494">
        <v>7.0000000000000007E-2</v>
      </c>
      <c r="L100" s="2957"/>
      <c r="M100" s="1601"/>
      <c r="N100" s="1600"/>
      <c r="O100" s="955" t="s">
        <v>3540</v>
      </c>
      <c r="P100" s="2495">
        <v>7.0000000000000001E-3</v>
      </c>
      <c r="Q100" s="2958"/>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6939</v>
      </c>
      <c r="E103" s="4046" t="s">
        <v>6932</v>
      </c>
      <c r="F103" s="4046"/>
      <c r="G103" s="4046"/>
      <c r="H103" s="65" t="s">
        <v>1660</v>
      </c>
      <c r="I103" s="2496" t="s">
        <v>2933</v>
      </c>
      <c r="J103" s="4046" t="s">
        <v>6934</v>
      </c>
      <c r="K103" s="4046"/>
      <c r="L103" s="4046"/>
      <c r="M103" s="64" t="s">
        <v>1487</v>
      </c>
      <c r="N103" s="2496" t="s">
        <v>6937</v>
      </c>
      <c r="O103" s="4046" t="s">
        <v>6936</v>
      </c>
      <c r="P103" s="4046"/>
      <c r="Q103" s="4046"/>
    </row>
    <row r="104" spans="1:32" ht="12.75" customHeight="1">
      <c r="C104" s="65" t="s">
        <v>1659</v>
      </c>
      <c r="D104" s="2497" t="s">
        <v>6938</v>
      </c>
      <c r="E104" s="4085" t="s">
        <v>6933</v>
      </c>
      <c r="F104" s="4085"/>
      <c r="G104" s="4085"/>
      <c r="H104" s="439" t="s">
        <v>2260</v>
      </c>
      <c r="I104" s="2497" t="s">
        <v>6940</v>
      </c>
      <c r="J104" s="4085" t="s">
        <v>6935</v>
      </c>
      <c r="K104" s="4085"/>
      <c r="L104" s="4085"/>
      <c r="M104" s="64" t="s">
        <v>1488</v>
      </c>
      <c r="N104" s="2497"/>
      <c r="O104" s="4085"/>
      <c r="P104" s="4085"/>
      <c r="Q104" s="4085"/>
    </row>
    <row r="105" spans="1:32" ht="12.75" customHeight="1">
      <c r="A105" s="47" t="s">
        <v>1657</v>
      </c>
      <c r="B105" s="52" t="s">
        <v>6325</v>
      </c>
      <c r="D105" s="132"/>
      <c r="E105" s="132"/>
      <c r="F105" s="132"/>
      <c r="G105" s="132"/>
      <c r="H105" s="132"/>
      <c r="I105" s="42"/>
      <c r="J105" s="42"/>
      <c r="K105" s="132"/>
      <c r="L105" s="2660"/>
      <c r="M105" s="2660"/>
      <c r="O105" s="439" t="s">
        <v>1657</v>
      </c>
      <c r="P105" s="2669" t="s">
        <v>2769</v>
      </c>
      <c r="Q105" s="2959"/>
    </row>
    <row r="106" spans="1:32" ht="12.75" customHeight="1">
      <c r="A106" s="47" t="s">
        <v>1858</v>
      </c>
      <c r="B106" s="52" t="s">
        <v>6327</v>
      </c>
      <c r="D106" s="132"/>
      <c r="E106" s="132"/>
      <c r="F106" s="132"/>
      <c r="G106" s="132"/>
      <c r="H106" s="132"/>
      <c r="I106" s="42"/>
      <c r="J106" s="42"/>
      <c r="K106" s="132"/>
      <c r="L106" s="2660"/>
      <c r="M106" s="2660"/>
      <c r="O106" s="439" t="s">
        <v>1858</v>
      </c>
      <c r="P106" s="2667" t="s">
        <v>2769</v>
      </c>
      <c r="Q106" s="2954"/>
    </row>
    <row r="107" spans="1:32" ht="10.5" customHeight="1">
      <c r="A107" s="47" t="s">
        <v>3124</v>
      </c>
      <c r="B107" s="52" t="s">
        <v>6329</v>
      </c>
      <c r="D107" s="132"/>
      <c r="E107" s="132"/>
      <c r="F107" s="132"/>
      <c r="G107" s="132"/>
      <c r="H107" s="132"/>
      <c r="I107" s="42"/>
      <c r="J107" s="42"/>
      <c r="K107" s="132"/>
      <c r="L107" s="2660"/>
      <c r="M107" s="2660"/>
      <c r="O107" s="439" t="s">
        <v>3124</v>
      </c>
      <c r="P107" s="2498">
        <v>0.93</v>
      </c>
      <c r="Q107" s="2960"/>
    </row>
    <row r="108" spans="1:32" s="131" customFormat="1" ht="60" customHeight="1">
      <c r="A108" s="140" t="s">
        <v>586</v>
      </c>
      <c r="B108" s="3951" t="s">
        <v>6326</v>
      </c>
      <c r="C108" s="3951"/>
      <c r="D108" s="3951"/>
      <c r="E108" s="3951"/>
      <c r="F108" s="3951"/>
      <c r="G108" s="3951"/>
      <c r="H108" s="3951"/>
      <c r="I108" s="3951"/>
      <c r="J108" s="3951"/>
      <c r="K108" s="3951"/>
      <c r="L108" s="3951"/>
      <c r="M108" s="3951"/>
      <c r="N108" s="3951"/>
      <c r="O108" s="1490" t="s">
        <v>6328</v>
      </c>
      <c r="P108" s="2658" t="s">
        <v>2769</v>
      </c>
      <c r="Q108" s="2961"/>
      <c r="AE108" s="442"/>
      <c r="AF108" s="442"/>
    </row>
    <row r="109" spans="1:32" s="42" customFormat="1" ht="12.75" customHeight="1">
      <c r="A109" s="47"/>
      <c r="B109" s="1305" t="s">
        <v>1659</v>
      </c>
      <c r="C109" s="52" t="s">
        <v>4277</v>
      </c>
      <c r="D109" s="132"/>
      <c r="E109" s="132"/>
      <c r="F109" s="132"/>
      <c r="G109" s="132"/>
      <c r="H109" s="132"/>
      <c r="K109" s="132"/>
      <c r="L109" s="2660"/>
      <c r="M109" s="2660"/>
      <c r="O109" s="439" t="s">
        <v>1659</v>
      </c>
      <c r="P109" s="2672" t="s">
        <v>2772</v>
      </c>
      <c r="Q109" s="2955"/>
      <c r="AE109" s="50"/>
      <c r="AF109" s="50"/>
    </row>
    <row r="110" spans="1:32" ht="9.75" customHeight="1">
      <c r="B110" s="139" t="s">
        <v>3371</v>
      </c>
      <c r="D110" s="139"/>
      <c r="E110" s="139"/>
      <c r="F110" s="139"/>
      <c r="G110" s="139"/>
      <c r="H110" s="40"/>
      <c r="I110" s="2673"/>
      <c r="J110" s="2673"/>
      <c r="K110" s="2673"/>
      <c r="L110" s="1401"/>
      <c r="M110" s="1401"/>
      <c r="N110" s="1401"/>
      <c r="O110" s="1401"/>
      <c r="P110" s="1401"/>
      <c r="Q110" s="782"/>
    </row>
    <row r="111" spans="1:32" ht="41.25" customHeight="1">
      <c r="A111" s="3965" t="s">
        <v>7008</v>
      </c>
      <c r="B111" s="3966"/>
      <c r="C111" s="3966"/>
      <c r="D111" s="3966"/>
      <c r="E111" s="3966"/>
      <c r="F111" s="3966"/>
      <c r="G111" s="3966"/>
      <c r="H111" s="3966"/>
      <c r="I111" s="3966"/>
      <c r="J111" s="3966"/>
      <c r="K111" s="3966"/>
      <c r="L111" s="3966"/>
      <c r="M111" s="3966"/>
      <c r="N111" s="3966"/>
      <c r="O111" s="3966"/>
      <c r="P111" s="3966"/>
      <c r="Q111" s="3967"/>
      <c r="U111" s="134"/>
      <c r="V111" s="134"/>
      <c r="W111" s="134"/>
      <c r="X111" s="134"/>
      <c r="Y111" s="134"/>
      <c r="Z111" s="134"/>
      <c r="AA111" s="134"/>
      <c r="AB111" s="134"/>
      <c r="AC111" s="134"/>
      <c r="AD111" s="134"/>
      <c r="AE111" s="441"/>
    </row>
    <row r="112" spans="1:32" ht="9.75" customHeight="1">
      <c r="B112" s="135" t="s">
        <v>1780</v>
      </c>
      <c r="C112" s="136"/>
      <c r="D112" s="2656"/>
      <c r="E112" s="2656"/>
      <c r="F112" s="2656"/>
      <c r="G112" s="2656"/>
      <c r="H112" s="2656"/>
      <c r="I112" s="2656"/>
      <c r="J112" s="2656"/>
      <c r="K112" s="2656"/>
      <c r="L112" s="2656"/>
      <c r="M112" s="2656"/>
      <c r="N112" s="2656"/>
      <c r="O112" s="2656"/>
      <c r="P112" s="2656"/>
      <c r="Q112" s="2656"/>
    </row>
    <row r="113" spans="1:32" ht="33" customHeight="1">
      <c r="A113" s="3972"/>
      <c r="B113" s="3973"/>
      <c r="C113" s="3973"/>
      <c r="D113" s="3973"/>
      <c r="E113" s="3973"/>
      <c r="F113" s="3973"/>
      <c r="G113" s="3973"/>
      <c r="H113" s="3973"/>
      <c r="I113" s="3973"/>
      <c r="J113" s="3973"/>
      <c r="K113" s="3973"/>
      <c r="L113" s="3973"/>
      <c r="M113" s="3973"/>
      <c r="N113" s="3973"/>
      <c r="O113" s="3973"/>
      <c r="P113" s="3973"/>
      <c r="Q113" s="3974"/>
    </row>
    <row r="114" spans="1:32" ht="14.1" customHeight="1">
      <c r="A114" s="2651" t="s">
        <v>505</v>
      </c>
      <c r="B114" s="2651" t="s">
        <v>2512</v>
      </c>
      <c r="C114" s="2651"/>
      <c r="D114" s="2656"/>
      <c r="E114" s="2656"/>
      <c r="F114" s="2656"/>
      <c r="G114" s="2656"/>
      <c r="H114" s="2656"/>
      <c r="I114" s="2656"/>
      <c r="J114" s="2656"/>
      <c r="K114" s="2656"/>
      <c r="L114" s="2656"/>
      <c r="M114" s="2656"/>
      <c r="O114" s="130" t="s">
        <v>1781</v>
      </c>
      <c r="P114" s="3963"/>
      <c r="Q114" s="3964"/>
    </row>
    <row r="115" spans="1:32" ht="3" customHeight="1"/>
    <row r="116" spans="1:32" ht="12.75" customHeight="1">
      <c r="A116" s="47" t="s">
        <v>1893</v>
      </c>
      <c r="B116" s="52" t="s">
        <v>4231</v>
      </c>
      <c r="C116" s="52"/>
      <c r="E116" s="52"/>
      <c r="F116" s="52"/>
      <c r="G116" s="52"/>
      <c r="H116" s="52"/>
      <c r="I116" s="52"/>
      <c r="J116" s="52"/>
      <c r="K116" s="52"/>
      <c r="L116" s="783"/>
      <c r="M116" s="783"/>
      <c r="O116" s="439" t="s">
        <v>1893</v>
      </c>
      <c r="P116" s="2493" t="s">
        <v>2772</v>
      </c>
      <c r="Q116" s="2959"/>
    </row>
    <row r="117" spans="1:32" ht="12.75" customHeight="1">
      <c r="B117" s="1305" t="s">
        <v>1658</v>
      </c>
      <c r="C117" s="39" t="s">
        <v>527</v>
      </c>
      <c r="E117" s="42"/>
      <c r="F117" s="42"/>
      <c r="G117" s="42"/>
      <c r="H117" s="42"/>
      <c r="I117" s="42"/>
      <c r="L117" s="65" t="s">
        <v>528</v>
      </c>
      <c r="M117" s="3997"/>
      <c r="N117" s="3998"/>
      <c r="O117" s="3998"/>
      <c r="P117" s="3575"/>
      <c r="Q117" s="2954"/>
    </row>
    <row r="118" spans="1:32" s="42" customFormat="1" ht="12.75" customHeight="1">
      <c r="B118" s="144" t="s">
        <v>1659</v>
      </c>
      <c r="C118" s="36" t="s">
        <v>4012</v>
      </c>
      <c r="O118" s="65" t="s">
        <v>1659</v>
      </c>
      <c r="P118" s="2669"/>
      <c r="Q118" s="2959"/>
      <c r="AE118" s="50"/>
      <c r="AF118" s="50"/>
    </row>
    <row r="119" spans="1:32" s="42" customFormat="1" ht="12.75" customHeight="1">
      <c r="B119" s="1305" t="s">
        <v>1660</v>
      </c>
      <c r="C119" s="36" t="s">
        <v>4258</v>
      </c>
      <c r="O119" s="147" t="s">
        <v>1660</v>
      </c>
      <c r="P119" s="2499"/>
      <c r="Q119" s="2962"/>
      <c r="AE119" s="50"/>
      <c r="AF119" s="50"/>
    </row>
    <row r="120" spans="1:32" ht="12.75" customHeight="1">
      <c r="A120" s="2673"/>
      <c r="B120" s="451" t="s">
        <v>2260</v>
      </c>
      <c r="C120" s="783" t="s">
        <v>3958</v>
      </c>
      <c r="D120" s="901"/>
      <c r="E120" s="901"/>
      <c r="F120" s="901"/>
      <c r="G120" s="901"/>
      <c r="H120" s="901"/>
      <c r="I120" s="901"/>
      <c r="J120" s="901"/>
      <c r="K120" s="901"/>
      <c r="L120" s="901"/>
      <c r="M120" s="901"/>
      <c r="O120" s="159" t="s">
        <v>2260</v>
      </c>
      <c r="P120" s="2500"/>
      <c r="Q120" s="2954"/>
    </row>
    <row r="121" spans="1:32" ht="12.75" customHeight="1">
      <c r="A121" s="2673"/>
      <c r="B121" s="451" t="s">
        <v>1487</v>
      </c>
      <c r="C121" s="783" t="s">
        <v>3199</v>
      </c>
      <c r="D121" s="901"/>
      <c r="E121" s="901"/>
      <c r="F121" s="901"/>
      <c r="G121" s="901"/>
      <c r="H121" s="901"/>
      <c r="I121" s="901"/>
      <c r="J121" s="901"/>
      <c r="K121" s="901"/>
      <c r="L121" s="901"/>
      <c r="M121" s="901"/>
      <c r="O121" s="159" t="s">
        <v>1487</v>
      </c>
      <c r="P121" s="2667"/>
      <c r="Q121" s="2954"/>
    </row>
    <row r="122" spans="1:32" ht="12.75" customHeight="1">
      <c r="A122" s="2673"/>
      <c r="B122" s="451" t="s">
        <v>1488</v>
      </c>
      <c r="C122" s="783" t="s">
        <v>3200</v>
      </c>
      <c r="D122" s="901"/>
      <c r="E122" s="901"/>
      <c r="F122" s="901"/>
      <c r="G122" s="901"/>
      <c r="H122" s="901"/>
      <c r="I122" s="901"/>
      <c r="J122" s="901"/>
      <c r="K122" s="901"/>
      <c r="L122" s="901"/>
      <c r="M122" s="901"/>
      <c r="O122" s="159" t="s">
        <v>1488</v>
      </c>
      <c r="P122" s="2667"/>
      <c r="Q122" s="2954"/>
    </row>
    <row r="123" spans="1:32" ht="12.75" customHeight="1">
      <c r="A123" s="2673"/>
      <c r="B123" s="451" t="s">
        <v>92</v>
      </c>
      <c r="C123" s="783" t="s">
        <v>2672</v>
      </c>
      <c r="D123" s="783"/>
      <c r="E123" s="783"/>
      <c r="F123" s="783"/>
      <c r="G123" s="783"/>
      <c r="H123" s="783"/>
      <c r="I123" s="783"/>
      <c r="J123" s="783"/>
      <c r="K123" s="783"/>
      <c r="L123" s="783"/>
      <c r="M123" s="986"/>
      <c r="O123" s="159" t="s">
        <v>92</v>
      </c>
      <c r="P123" s="2667"/>
      <c r="Q123" s="2954"/>
    </row>
    <row r="124" spans="1:32" s="131" customFormat="1" ht="23.25" customHeight="1">
      <c r="A124" s="420"/>
      <c r="B124" s="451" t="s">
        <v>489</v>
      </c>
      <c r="C124" s="3951" t="s">
        <v>4150</v>
      </c>
      <c r="D124" s="3951"/>
      <c r="E124" s="3951"/>
      <c r="F124" s="3951"/>
      <c r="G124" s="3951"/>
      <c r="H124" s="3951"/>
      <c r="I124" s="3951"/>
      <c r="J124" s="3951"/>
      <c r="K124" s="3951"/>
      <c r="L124" s="3951"/>
      <c r="M124" s="3951"/>
      <c r="N124" s="3951"/>
      <c r="O124" s="159" t="s">
        <v>489</v>
      </c>
      <c r="P124" s="2659"/>
      <c r="Q124" s="2963"/>
      <c r="AE124" s="442"/>
      <c r="AF124" s="442"/>
    </row>
    <row r="125" spans="1:32" ht="12.75" customHeight="1">
      <c r="A125" s="47" t="s">
        <v>1895</v>
      </c>
      <c r="B125" s="52" t="s">
        <v>4149</v>
      </c>
      <c r="C125" s="52"/>
      <c r="E125" s="52"/>
      <c r="F125" s="52"/>
      <c r="G125" s="52"/>
      <c r="H125" s="52"/>
      <c r="I125" s="52"/>
      <c r="J125" s="52"/>
      <c r="K125" s="52"/>
      <c r="L125" s="52"/>
      <c r="M125" s="52"/>
      <c r="O125" s="439" t="s">
        <v>1895</v>
      </c>
      <c r="P125" s="2669" t="s">
        <v>2772</v>
      </c>
      <c r="Q125" s="2959"/>
    </row>
    <row r="126" spans="1:32" ht="12.75" customHeight="1">
      <c r="B126" s="1305" t="s">
        <v>1658</v>
      </c>
      <c r="C126" s="52" t="s">
        <v>4280</v>
      </c>
      <c r="D126" s="52"/>
      <c r="E126" s="52"/>
      <c r="F126" s="52"/>
      <c r="G126" s="52"/>
      <c r="H126" s="52"/>
      <c r="I126" s="52"/>
      <c r="J126" s="52"/>
      <c r="K126" s="52"/>
      <c r="L126" s="52"/>
      <c r="M126" s="52"/>
      <c r="O126" s="147" t="s">
        <v>1658</v>
      </c>
      <c r="P126" s="2669"/>
      <c r="Q126" s="2959"/>
    </row>
    <row r="127" spans="1:32" ht="12.75" customHeight="1">
      <c r="A127" s="47"/>
      <c r="B127" s="144" t="s">
        <v>1659</v>
      </c>
      <c r="C127" s="52" t="s">
        <v>4279</v>
      </c>
      <c r="D127" s="52"/>
      <c r="E127" s="52"/>
      <c r="F127" s="52"/>
      <c r="G127" s="52"/>
      <c r="H127" s="52"/>
      <c r="I127" s="52"/>
      <c r="J127" s="52"/>
      <c r="K127" s="52"/>
      <c r="L127" s="52"/>
      <c r="M127" s="52"/>
      <c r="O127" s="65" t="s">
        <v>1659</v>
      </c>
      <c r="P127" s="2501"/>
      <c r="Q127" s="2964"/>
    </row>
    <row r="128" spans="1:32" ht="10.5" customHeight="1">
      <c r="B128" s="139" t="s">
        <v>3371</v>
      </c>
      <c r="D128" s="139"/>
      <c r="E128" s="139"/>
      <c r="F128" s="139"/>
      <c r="G128" s="139"/>
      <c r="H128" s="40"/>
      <c r="I128" s="2673"/>
      <c r="J128" s="2673"/>
      <c r="K128" s="2673"/>
      <c r="L128" s="1401"/>
      <c r="M128" s="1401"/>
      <c r="N128" s="1401"/>
      <c r="O128" s="1401"/>
      <c r="P128" s="1401"/>
      <c r="Q128" s="782"/>
    </row>
    <row r="129" spans="1:31" ht="22.5" customHeight="1">
      <c r="A129" s="3965" t="s">
        <v>6941</v>
      </c>
      <c r="B129" s="3966"/>
      <c r="C129" s="3966"/>
      <c r="D129" s="3966"/>
      <c r="E129" s="3966"/>
      <c r="F129" s="3966"/>
      <c r="G129" s="3966"/>
      <c r="H129" s="3966"/>
      <c r="I129" s="3966"/>
      <c r="J129" s="3966"/>
      <c r="K129" s="3966"/>
      <c r="L129" s="3966"/>
      <c r="M129" s="3966"/>
      <c r="N129" s="3966"/>
      <c r="O129" s="3966"/>
      <c r="P129" s="3966"/>
      <c r="Q129" s="3967"/>
      <c r="U129" s="134"/>
      <c r="V129" s="134"/>
      <c r="W129" s="134"/>
      <c r="X129" s="134"/>
      <c r="Y129" s="134"/>
      <c r="Z129" s="134"/>
      <c r="AA129" s="134"/>
      <c r="AB129" s="134"/>
      <c r="AC129" s="134"/>
      <c r="AD129" s="134"/>
      <c r="AE129" s="441"/>
    </row>
    <row r="130" spans="1:31" ht="11.25" customHeight="1">
      <c r="B130" s="135" t="s">
        <v>1780</v>
      </c>
      <c r="C130" s="136"/>
      <c r="D130" s="2656"/>
      <c r="E130" s="2656"/>
      <c r="F130" s="2656"/>
      <c r="G130" s="2656"/>
      <c r="H130" s="2656"/>
      <c r="I130" s="2656"/>
      <c r="J130" s="2656"/>
      <c r="K130" s="2656"/>
      <c r="L130" s="2656"/>
      <c r="M130" s="2656"/>
      <c r="N130" s="2656"/>
      <c r="O130" s="2656"/>
      <c r="P130" s="2656"/>
      <c r="Q130" s="2656"/>
    </row>
    <row r="131" spans="1:31" ht="22.5" customHeight="1">
      <c r="A131" s="3972"/>
      <c r="B131" s="3973"/>
      <c r="C131" s="3973"/>
      <c r="D131" s="3973"/>
      <c r="E131" s="3973"/>
      <c r="F131" s="3973"/>
      <c r="G131" s="3973"/>
      <c r="H131" s="3973"/>
      <c r="I131" s="3973"/>
      <c r="J131" s="3973"/>
      <c r="K131" s="3973"/>
      <c r="L131" s="3973"/>
      <c r="M131" s="3973"/>
      <c r="N131" s="3973"/>
      <c r="O131" s="3973"/>
      <c r="P131" s="3973"/>
      <c r="Q131" s="3974"/>
    </row>
    <row r="132" spans="1:31" ht="14.1" customHeight="1">
      <c r="A132" s="2651" t="s">
        <v>742</v>
      </c>
      <c r="B132" s="2651" t="s">
        <v>2513</v>
      </c>
      <c r="C132" s="40"/>
      <c r="D132" s="2656"/>
      <c r="E132" s="2656"/>
      <c r="F132" s="2656"/>
      <c r="G132" s="2656"/>
      <c r="H132" s="2656"/>
      <c r="I132" s="2656"/>
      <c r="J132" s="2656"/>
      <c r="K132" s="2656"/>
      <c r="L132" s="2656"/>
      <c r="M132" s="2656"/>
      <c r="O132" s="130" t="s">
        <v>1781</v>
      </c>
      <c r="P132" s="3963"/>
      <c r="Q132" s="3964"/>
    </row>
    <row r="133" spans="1:31" ht="6.6" customHeight="1"/>
    <row r="134" spans="1:31">
      <c r="A134" s="47" t="s">
        <v>1893</v>
      </c>
      <c r="B134" s="52" t="s">
        <v>6440</v>
      </c>
      <c r="D134" s="132"/>
      <c r="E134" s="132"/>
      <c r="F134" s="132"/>
      <c r="G134" s="132"/>
      <c r="H134" s="132"/>
      <c r="I134" s="42"/>
      <c r="J134" s="42"/>
      <c r="K134" s="439" t="s">
        <v>1893</v>
      </c>
      <c r="L134" s="4110" t="s">
        <v>6942</v>
      </c>
      <c r="M134" s="4110"/>
      <c r="N134" s="4110"/>
      <c r="O134" s="4110"/>
      <c r="P134" s="4110"/>
      <c r="Q134" s="2956"/>
    </row>
    <row r="135" spans="1:31" ht="12" customHeight="1">
      <c r="B135" s="55" t="s">
        <v>6441</v>
      </c>
      <c r="O135" s="65" t="s">
        <v>1659</v>
      </c>
      <c r="P135" s="2500" t="s">
        <v>2772</v>
      </c>
      <c r="Q135" s="2965"/>
    </row>
    <row r="136" spans="1:31" ht="12" customHeight="1">
      <c r="A136" s="47" t="s">
        <v>1895</v>
      </c>
      <c r="B136" s="52" t="s">
        <v>1476</v>
      </c>
      <c r="D136" s="132"/>
      <c r="E136" s="132"/>
      <c r="F136" s="132"/>
      <c r="G136" s="132"/>
      <c r="H136" s="132"/>
      <c r="I136" s="42"/>
      <c r="J136" s="42"/>
      <c r="K136" s="132"/>
      <c r="L136" s="2660"/>
      <c r="O136" s="439" t="s">
        <v>1895</v>
      </c>
      <c r="P136" s="2500" t="s">
        <v>2772</v>
      </c>
      <c r="Q136" s="2965"/>
    </row>
    <row r="137" spans="1:31" ht="12" customHeight="1">
      <c r="A137" s="47" t="s">
        <v>719</v>
      </c>
      <c r="B137" s="52" t="s">
        <v>143</v>
      </c>
      <c r="D137" s="132"/>
      <c r="E137" s="132"/>
      <c r="F137" s="132"/>
      <c r="G137" s="132"/>
      <c r="H137" s="132"/>
      <c r="I137" s="42"/>
      <c r="J137" s="42"/>
      <c r="K137" s="2660"/>
      <c r="L137" s="2660"/>
      <c r="O137" s="439" t="s">
        <v>719</v>
      </c>
      <c r="P137" s="2672" t="s">
        <v>2769</v>
      </c>
      <c r="Q137" s="2966"/>
    </row>
    <row r="138" spans="1:31" ht="12" customHeight="1">
      <c r="A138" s="47"/>
      <c r="B138" s="783" t="s">
        <v>1658</v>
      </c>
      <c r="C138" s="52" t="s">
        <v>2540</v>
      </c>
      <c r="E138" s="132"/>
      <c r="F138" s="132"/>
      <c r="G138" s="132"/>
      <c r="H138" s="132"/>
      <c r="I138" s="42"/>
      <c r="J138" s="42"/>
      <c r="K138" s="65" t="s">
        <v>1658</v>
      </c>
      <c r="L138" s="4110" t="s">
        <v>6942</v>
      </c>
      <c r="M138" s="4110"/>
      <c r="N138" s="4110"/>
      <c r="O138" s="4110"/>
      <c r="P138" s="4110"/>
      <c r="Q138" s="2956"/>
    </row>
    <row r="139" spans="1:31" ht="12" customHeight="1">
      <c r="A139" s="137"/>
      <c r="B139" s="144" t="s">
        <v>1659</v>
      </c>
      <c r="C139" s="36" t="s">
        <v>3201</v>
      </c>
      <c r="E139" s="42"/>
      <c r="F139" s="42"/>
      <c r="G139" s="42"/>
      <c r="H139" s="52"/>
      <c r="I139" s="42"/>
      <c r="J139" s="42"/>
      <c r="K139" s="132"/>
      <c r="L139" s="2660"/>
      <c r="M139" s="2660"/>
      <c r="O139" s="439" t="s">
        <v>1659</v>
      </c>
      <c r="P139" s="2669">
        <v>62</v>
      </c>
      <c r="Q139" s="2959"/>
    </row>
    <row r="140" spans="1:31" ht="12" customHeight="1">
      <c r="A140" s="137"/>
      <c r="B140" s="40" t="s">
        <v>1660</v>
      </c>
      <c r="C140" s="36" t="s">
        <v>3944</v>
      </c>
      <c r="D140" s="146"/>
      <c r="E140" s="42"/>
      <c r="F140" s="42"/>
      <c r="G140" s="42"/>
      <c r="H140" s="52"/>
      <c r="I140" s="42"/>
      <c r="J140" s="42"/>
      <c r="K140" s="132"/>
      <c r="L140" s="2660"/>
      <c r="M140" s="2660"/>
      <c r="O140" s="439" t="s">
        <v>1660</v>
      </c>
      <c r="P140" s="2672" t="s">
        <v>6929</v>
      </c>
      <c r="Q140" s="2955"/>
    </row>
    <row r="141" spans="1:31" ht="12" customHeight="1">
      <c r="A141" s="47" t="s">
        <v>2021</v>
      </c>
      <c r="B141" s="144" t="s">
        <v>2304</v>
      </c>
      <c r="D141" s="132"/>
      <c r="E141" s="132"/>
      <c r="F141" s="132"/>
      <c r="G141" s="132"/>
      <c r="H141" s="132"/>
      <c r="I141" s="42"/>
      <c r="J141" s="42"/>
      <c r="K141" s="132"/>
      <c r="M141" s="2660"/>
      <c r="N141" s="2660"/>
      <c r="O141" s="2660"/>
      <c r="P141" s="2660"/>
      <c r="Q141" s="2660"/>
    </row>
    <row r="142" spans="1:31" ht="12" customHeight="1">
      <c r="A142" s="47"/>
      <c r="B142" s="144" t="s">
        <v>1658</v>
      </c>
      <c r="C142" s="52" t="s">
        <v>1214</v>
      </c>
      <c r="D142" s="132"/>
      <c r="E142" s="144"/>
      <c r="F142" s="2492" t="s">
        <v>2769</v>
      </c>
      <c r="G142" s="2953"/>
      <c r="H142" s="439" t="s">
        <v>4040</v>
      </c>
      <c r="I142" s="52" t="s">
        <v>6330</v>
      </c>
      <c r="K142" s="2669" t="s">
        <v>2772</v>
      </c>
      <c r="L142" s="2959"/>
      <c r="M142" s="439" t="s">
        <v>4044</v>
      </c>
      <c r="N142" s="55" t="s">
        <v>3417</v>
      </c>
      <c r="O142" s="2660"/>
      <c r="P142" s="2492" t="s">
        <v>2772</v>
      </c>
      <c r="Q142" s="2953"/>
    </row>
    <row r="143" spans="1:31" ht="12.75" customHeight="1">
      <c r="B143" s="144" t="s">
        <v>1659</v>
      </c>
      <c r="C143" s="52" t="s">
        <v>6442</v>
      </c>
      <c r="E143" s="132"/>
      <c r="F143" s="2667" t="s">
        <v>2769</v>
      </c>
      <c r="G143" s="2954"/>
      <c r="H143" s="439" t="s">
        <v>4041</v>
      </c>
      <c r="I143" s="52" t="s">
        <v>6331</v>
      </c>
      <c r="K143" s="2667" t="s">
        <v>2772</v>
      </c>
      <c r="L143" s="2954"/>
      <c r="M143" s="439" t="s">
        <v>4045</v>
      </c>
      <c r="N143" s="52" t="s">
        <v>1489</v>
      </c>
      <c r="P143" s="2667" t="s">
        <v>2772</v>
      </c>
      <c r="Q143" s="2954"/>
    </row>
    <row r="144" spans="1:31" ht="12" customHeight="1">
      <c r="A144" s="36"/>
      <c r="B144" s="144" t="s">
        <v>1660</v>
      </c>
      <c r="C144" s="52" t="s">
        <v>6443</v>
      </c>
      <c r="E144" s="132"/>
      <c r="F144" s="2667" t="s">
        <v>2769</v>
      </c>
      <c r="G144" s="2954"/>
      <c r="H144" s="439" t="s">
        <v>4042</v>
      </c>
      <c r="I144" s="55" t="s">
        <v>6444</v>
      </c>
      <c r="K144" s="2672" t="s">
        <v>2772</v>
      </c>
      <c r="L144" s="2955"/>
      <c r="M144" s="439" t="s">
        <v>6445</v>
      </c>
      <c r="N144" s="55" t="s">
        <v>6332</v>
      </c>
      <c r="P144" s="2667" t="s">
        <v>2772</v>
      </c>
      <c r="Q144" s="2954"/>
    </row>
    <row r="145" spans="1:32" ht="12" customHeight="1">
      <c r="A145" s="36"/>
      <c r="B145" s="144" t="s">
        <v>2260</v>
      </c>
      <c r="C145" s="55" t="s">
        <v>2503</v>
      </c>
      <c r="E145" s="132"/>
      <c r="F145" s="2667" t="s">
        <v>2769</v>
      </c>
      <c r="G145" s="2954"/>
      <c r="H145" s="439" t="s">
        <v>4043</v>
      </c>
      <c r="I145" s="3951" t="s">
        <v>6447</v>
      </c>
      <c r="J145" s="3951"/>
      <c r="K145" s="784"/>
      <c r="M145" s="439" t="s">
        <v>6446</v>
      </c>
      <c r="N145" s="52" t="s">
        <v>141</v>
      </c>
      <c r="P145" s="2672" t="s">
        <v>2772</v>
      </c>
      <c r="Q145" s="2955"/>
    </row>
    <row r="146" spans="1:32" ht="12" customHeight="1">
      <c r="A146" s="36"/>
      <c r="B146" s="439" t="s">
        <v>4039</v>
      </c>
      <c r="C146" s="52" t="s">
        <v>2611</v>
      </c>
      <c r="E146" s="132"/>
      <c r="F146" s="2672" t="s">
        <v>2772</v>
      </c>
      <c r="G146" s="2955"/>
      <c r="I146" s="3951"/>
      <c r="J146" s="3951"/>
      <c r="K146" s="2493" t="s">
        <v>2772</v>
      </c>
      <c r="L146" s="2956"/>
    </row>
    <row r="147" spans="1:32" ht="12" customHeight="1">
      <c r="A147" s="36"/>
      <c r="B147" s="439" t="s">
        <v>6466</v>
      </c>
      <c r="C147" s="52" t="s">
        <v>2612</v>
      </c>
      <c r="E147" s="132"/>
      <c r="F147" s="132"/>
      <c r="G147" s="132"/>
      <c r="H147" s="132"/>
      <c r="I147" s="132"/>
      <c r="J147" s="132"/>
      <c r="K147" s="132"/>
      <c r="L147" s="132"/>
      <c r="M147" s="52"/>
      <c r="O147" s="65"/>
      <c r="P147" s="65"/>
    </row>
    <row r="148" spans="1:32" ht="12" customHeight="1">
      <c r="A148" s="36"/>
      <c r="C148" s="3989" t="s">
        <v>2625</v>
      </c>
      <c r="D148" s="3989"/>
      <c r="E148" s="3989"/>
      <c r="F148" s="3989"/>
      <c r="G148" s="3989"/>
      <c r="H148" s="3989"/>
      <c r="I148" s="3989"/>
      <c r="J148" s="3989"/>
      <c r="K148" s="3989"/>
      <c r="L148" s="3989"/>
      <c r="M148" s="3989"/>
      <c r="N148" s="3989"/>
      <c r="O148" s="3989"/>
      <c r="P148" s="3989"/>
      <c r="Q148" s="3989"/>
    </row>
    <row r="149" spans="1:32" ht="12" customHeight="1">
      <c r="A149" s="47" t="s">
        <v>1656</v>
      </c>
      <c r="B149" s="52" t="s">
        <v>3259</v>
      </c>
      <c r="D149" s="132"/>
      <c r="E149" s="132"/>
      <c r="F149" s="132"/>
      <c r="G149" s="132"/>
      <c r="H149" s="132"/>
      <c r="I149" s="42"/>
      <c r="J149" s="42"/>
      <c r="K149" s="132"/>
      <c r="L149" s="132"/>
      <c r="M149" s="2660"/>
    </row>
    <row r="150" spans="1:32" ht="12.75" customHeight="1">
      <c r="A150" s="42"/>
      <c r="B150" s="144" t="s">
        <v>1658</v>
      </c>
      <c r="C150" s="52" t="s">
        <v>2613</v>
      </c>
      <c r="E150" s="132"/>
      <c r="F150" s="132"/>
      <c r="G150" s="132"/>
      <c r="H150" s="132"/>
      <c r="O150" s="65" t="s">
        <v>1658</v>
      </c>
      <c r="P150" s="2492"/>
      <c r="Q150" s="2953"/>
    </row>
    <row r="151" spans="1:32" ht="12.75" customHeight="1">
      <c r="A151" s="2673"/>
      <c r="B151" s="144" t="s">
        <v>1659</v>
      </c>
      <c r="C151" s="52" t="s">
        <v>469</v>
      </c>
      <c r="E151" s="52"/>
      <c r="F151" s="52"/>
      <c r="G151" s="52"/>
      <c r="H151" s="52"/>
      <c r="I151" s="42"/>
      <c r="J151" s="42"/>
      <c r="K151" s="52"/>
      <c r="L151" s="52"/>
      <c r="M151" s="52"/>
      <c r="O151" s="65" t="s">
        <v>1659</v>
      </c>
      <c r="P151" s="2667"/>
      <c r="Q151" s="2954"/>
    </row>
    <row r="152" spans="1:32" ht="12.75" customHeight="1">
      <c r="A152" s="2673"/>
      <c r="B152" s="144" t="s">
        <v>1660</v>
      </c>
      <c r="C152" s="52" t="s">
        <v>651</v>
      </c>
      <c r="E152" s="52"/>
      <c r="F152" s="52"/>
      <c r="G152" s="52"/>
      <c r="H152" s="52"/>
      <c r="I152" s="42"/>
      <c r="J152" s="42"/>
      <c r="K152" s="52"/>
      <c r="L152" s="52"/>
      <c r="M152" s="52"/>
      <c r="O152" s="65" t="s">
        <v>1660</v>
      </c>
      <c r="P152" s="2667"/>
      <c r="Q152" s="2954"/>
    </row>
    <row r="153" spans="1:32" ht="12.75" customHeight="1">
      <c r="A153" s="2673"/>
      <c r="B153" s="40" t="s">
        <v>2260</v>
      </c>
      <c r="C153" s="52" t="s">
        <v>4026</v>
      </c>
      <c r="E153" s="52"/>
      <c r="F153" s="52"/>
      <c r="G153" s="52"/>
      <c r="H153" s="52"/>
      <c r="I153" s="42"/>
      <c r="J153" s="42"/>
      <c r="K153" s="52"/>
      <c r="L153" s="52"/>
      <c r="M153" s="52"/>
      <c r="O153" s="439" t="s">
        <v>2260</v>
      </c>
      <c r="P153" s="2672"/>
      <c r="Q153" s="2955"/>
    </row>
    <row r="154" spans="1:32" ht="12" customHeight="1">
      <c r="A154" s="399" t="s">
        <v>4151</v>
      </c>
      <c r="C154" s="52"/>
      <c r="D154" s="132"/>
      <c r="E154" s="132"/>
      <c r="F154" s="132"/>
      <c r="G154" s="132"/>
      <c r="H154" s="132"/>
      <c r="I154" s="42"/>
      <c r="J154" s="42"/>
      <c r="K154" s="132"/>
      <c r="L154" s="132"/>
      <c r="M154" s="2660"/>
      <c r="N154" s="2660"/>
      <c r="O154" s="2660"/>
      <c r="P154" s="2660"/>
      <c r="Q154" s="2660"/>
      <c r="R154" s="2660"/>
    </row>
    <row r="155" spans="1:32" s="1" customFormat="1" ht="24" customHeight="1">
      <c r="A155" s="140" t="s">
        <v>1657</v>
      </c>
      <c r="B155" s="3951" t="s">
        <v>140</v>
      </c>
      <c r="C155" s="3951"/>
      <c r="D155" s="3951"/>
      <c r="E155" s="3951"/>
      <c r="F155" s="3951"/>
      <c r="G155" s="3951"/>
      <c r="H155" s="3951"/>
      <c r="I155" s="3951"/>
      <c r="J155" s="3951"/>
      <c r="K155" s="3951"/>
      <c r="L155" s="3951"/>
      <c r="M155" s="439" t="s">
        <v>1858</v>
      </c>
      <c r="N155" s="4106" t="s">
        <v>1691</v>
      </c>
      <c r="O155" s="4107"/>
      <c r="P155" s="4108" t="s">
        <v>1691</v>
      </c>
      <c r="Q155" s="4109"/>
      <c r="AE155" s="5"/>
      <c r="AF155" s="5"/>
    </row>
    <row r="156" spans="1:32" ht="11.25" customHeight="1">
      <c r="B156" s="139" t="s">
        <v>3371</v>
      </c>
      <c r="D156" s="139"/>
      <c r="E156" s="139"/>
      <c r="F156" s="139"/>
      <c r="G156" s="139"/>
      <c r="H156" s="40"/>
      <c r="I156" s="2673"/>
      <c r="J156" s="2673"/>
      <c r="K156" s="2673"/>
      <c r="L156" s="1401"/>
      <c r="M156" s="1401"/>
      <c r="N156" s="1401"/>
      <c r="O156" s="1401"/>
      <c r="P156" s="1401"/>
      <c r="Q156" s="782"/>
    </row>
    <row r="157" spans="1:32" ht="63.75" customHeight="1">
      <c r="A157" s="3965" t="s">
        <v>7009</v>
      </c>
      <c r="B157" s="3966"/>
      <c r="C157" s="3966"/>
      <c r="D157" s="3966"/>
      <c r="E157" s="3966"/>
      <c r="F157" s="3966"/>
      <c r="G157" s="3966"/>
      <c r="H157" s="3966"/>
      <c r="I157" s="3966"/>
      <c r="J157" s="3966"/>
      <c r="K157" s="3966"/>
      <c r="L157" s="3966"/>
      <c r="M157" s="3966"/>
      <c r="N157" s="3966"/>
      <c r="O157" s="3966"/>
      <c r="P157" s="3966"/>
      <c r="Q157" s="3967"/>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6"/>
      <c r="E159" s="2656"/>
      <c r="F159" s="2656"/>
      <c r="G159" s="2656"/>
      <c r="H159" s="2656"/>
      <c r="I159" s="2656"/>
      <c r="J159" s="2656"/>
      <c r="K159" s="2656"/>
      <c r="L159" s="2656"/>
      <c r="M159" s="2656"/>
      <c r="N159" s="2656"/>
      <c r="O159" s="2656"/>
      <c r="P159" s="2656"/>
      <c r="Q159" s="2656"/>
    </row>
    <row r="160" spans="1:32" ht="45" customHeight="1">
      <c r="A160" s="3972"/>
      <c r="B160" s="3973"/>
      <c r="C160" s="3973"/>
      <c r="D160" s="3973"/>
      <c r="E160" s="3973"/>
      <c r="F160" s="3973"/>
      <c r="G160" s="3973"/>
      <c r="H160" s="3973"/>
      <c r="I160" s="3973"/>
      <c r="J160" s="3973"/>
      <c r="K160" s="3973"/>
      <c r="L160" s="3973"/>
      <c r="M160" s="3973"/>
      <c r="N160" s="3973"/>
      <c r="O160" s="3973"/>
      <c r="P160" s="3973"/>
      <c r="Q160" s="3974"/>
    </row>
    <row r="161" spans="1:31" ht="3" customHeight="1">
      <c r="A161" s="1401"/>
      <c r="B161" s="2673"/>
      <c r="C161" s="2656"/>
      <c r="D161" s="2656"/>
      <c r="E161" s="2656"/>
      <c r="F161" s="2656"/>
      <c r="G161" s="2656"/>
      <c r="H161" s="2656"/>
      <c r="I161" s="2656"/>
      <c r="J161" s="2656"/>
      <c r="K161" s="2656"/>
      <c r="L161" s="2656"/>
      <c r="M161" s="2656"/>
      <c r="N161" s="2656"/>
      <c r="O161" s="2656"/>
      <c r="P161" s="2656"/>
      <c r="Q161" s="1401"/>
    </row>
    <row r="162" spans="1:31" ht="14.1" customHeight="1">
      <c r="A162" s="2651" t="s">
        <v>281</v>
      </c>
      <c r="B162" s="2651" t="s">
        <v>2514</v>
      </c>
      <c r="C162" s="2651"/>
      <c r="D162" s="2656"/>
      <c r="E162" s="2656"/>
      <c r="F162" s="2656"/>
      <c r="G162" s="2656"/>
      <c r="H162" s="2656"/>
      <c r="I162" s="2656"/>
      <c r="J162" s="2656"/>
      <c r="K162" s="2656"/>
      <c r="O162" s="130" t="s">
        <v>1781</v>
      </c>
      <c r="P162" s="3963"/>
      <c r="Q162" s="3964"/>
    </row>
    <row r="163" spans="1:31" ht="12" customHeight="1">
      <c r="A163" s="47" t="s">
        <v>1893</v>
      </c>
      <c r="B163" s="144" t="s">
        <v>1658</v>
      </c>
      <c r="C163" s="52" t="s">
        <v>6333</v>
      </c>
      <c r="D163" s="52"/>
      <c r="E163" s="52"/>
      <c r="F163" s="52"/>
      <c r="G163" s="52"/>
      <c r="K163" s="52" t="s">
        <v>2555</v>
      </c>
      <c r="M163" s="4087">
        <v>44892</v>
      </c>
      <c r="N163" s="4088"/>
      <c r="O163" s="65" t="s">
        <v>1658</v>
      </c>
      <c r="P163" s="2489" t="s">
        <v>2769</v>
      </c>
      <c r="Q163" s="2967"/>
    </row>
    <row r="164" spans="1:31" ht="12" customHeight="1">
      <c r="A164" s="47"/>
      <c r="B164" s="144" t="s">
        <v>1659</v>
      </c>
      <c r="C164" s="52" t="s">
        <v>4259</v>
      </c>
      <c r="D164" s="52"/>
      <c r="E164" s="52"/>
      <c r="F164" s="52"/>
      <c r="G164" s="52"/>
      <c r="K164" s="52" t="s">
        <v>2555</v>
      </c>
      <c r="M164" s="4087" t="s">
        <v>2933</v>
      </c>
      <c r="N164" s="4088"/>
      <c r="O164" s="65" t="s">
        <v>1659</v>
      </c>
      <c r="P164" s="2489"/>
      <c r="Q164" s="2967"/>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89" t="s">
        <v>6943</v>
      </c>
      <c r="N165" s="4090"/>
      <c r="P165" s="4091" t="s">
        <v>1691</v>
      </c>
      <c r="Q165" s="4092"/>
    </row>
    <row r="166" spans="1:31" ht="12" customHeight="1">
      <c r="A166" s="47" t="s">
        <v>719</v>
      </c>
      <c r="B166" s="138" t="s">
        <v>652</v>
      </c>
      <c r="D166" s="138"/>
      <c r="E166" s="138"/>
      <c r="F166" s="138"/>
      <c r="G166" s="138"/>
      <c r="H166" s="138"/>
      <c r="J166" s="439" t="s">
        <v>719</v>
      </c>
      <c r="K166" s="3997" t="s">
        <v>6859</v>
      </c>
      <c r="L166" s="3998"/>
      <c r="M166" s="3998"/>
      <c r="N166" s="3998"/>
      <c r="O166" s="3998"/>
      <c r="P166" s="3999"/>
      <c r="Q166" s="2967"/>
    </row>
    <row r="167" spans="1:31" ht="21.75" customHeight="1">
      <c r="A167" s="140" t="s">
        <v>2021</v>
      </c>
      <c r="B167" s="3951" t="s">
        <v>6448</v>
      </c>
      <c r="C167" s="3951"/>
      <c r="D167" s="3951"/>
      <c r="E167" s="3951"/>
      <c r="F167" s="3951"/>
      <c r="G167" s="3951"/>
      <c r="H167" s="3951"/>
      <c r="I167" s="3951"/>
      <c r="J167" s="3951"/>
      <c r="K167" s="3951"/>
      <c r="L167" s="3951"/>
      <c r="M167" s="3951"/>
      <c r="N167" s="3951"/>
      <c r="O167" s="159" t="s">
        <v>2021</v>
      </c>
      <c r="P167" s="2659" t="s">
        <v>6869</v>
      </c>
      <c r="Q167" s="2963"/>
    </row>
    <row r="168" spans="1:31" ht="12" customHeight="1">
      <c r="B168" s="139" t="s">
        <v>3371</v>
      </c>
      <c r="D168" s="139"/>
      <c r="E168" s="139"/>
      <c r="F168" s="139"/>
      <c r="G168" s="139"/>
      <c r="H168" s="40"/>
      <c r="I168" s="2673"/>
      <c r="J168" s="2673"/>
      <c r="K168" s="2673"/>
      <c r="L168" s="1401"/>
      <c r="M168" s="1401"/>
      <c r="N168" s="1401"/>
      <c r="O168" s="1401"/>
      <c r="P168" s="1401"/>
      <c r="Q168" s="782"/>
    </row>
    <row r="169" spans="1:31" ht="24" customHeight="1">
      <c r="A169" s="3965" t="s">
        <v>6944</v>
      </c>
      <c r="B169" s="3966"/>
      <c r="C169" s="3966"/>
      <c r="D169" s="3966"/>
      <c r="E169" s="3966"/>
      <c r="F169" s="3966"/>
      <c r="G169" s="3966"/>
      <c r="H169" s="3966"/>
      <c r="I169" s="3966"/>
      <c r="J169" s="3966"/>
      <c r="K169" s="3966"/>
      <c r="L169" s="3966"/>
      <c r="M169" s="3966"/>
      <c r="N169" s="3966"/>
      <c r="O169" s="3966"/>
      <c r="P169" s="3966"/>
      <c r="Q169" s="3967"/>
      <c r="U169" s="134"/>
      <c r="V169" s="134"/>
      <c r="W169" s="134"/>
      <c r="X169" s="134"/>
      <c r="Y169" s="134"/>
      <c r="Z169" s="134"/>
      <c r="AA169" s="134"/>
      <c r="AB169" s="134"/>
      <c r="AC169" s="134"/>
      <c r="AD169" s="134"/>
      <c r="AE169" s="441"/>
    </row>
    <row r="170" spans="1:31" ht="12" customHeight="1">
      <c r="B170" s="135" t="s">
        <v>1780</v>
      </c>
      <c r="C170" s="136"/>
      <c r="D170" s="2656"/>
      <c r="E170" s="2656"/>
      <c r="F170" s="2656"/>
      <c r="G170" s="2656"/>
      <c r="H170" s="2656"/>
      <c r="I170" s="2656"/>
      <c r="J170" s="2656"/>
      <c r="K170" s="2656"/>
      <c r="L170" s="2656"/>
      <c r="M170" s="2656"/>
      <c r="N170" s="2656"/>
      <c r="O170" s="2656"/>
      <c r="P170" s="2656"/>
      <c r="Q170" s="2656"/>
    </row>
    <row r="171" spans="1:31" ht="11.45" customHeight="1">
      <c r="A171" s="3972"/>
      <c r="B171" s="3973"/>
      <c r="C171" s="3973"/>
      <c r="D171" s="3973"/>
      <c r="E171" s="3973"/>
      <c r="F171" s="3973"/>
      <c r="G171" s="3973"/>
      <c r="H171" s="3973"/>
      <c r="I171" s="3973"/>
      <c r="J171" s="3973"/>
      <c r="K171" s="3973"/>
      <c r="L171" s="3973"/>
      <c r="M171" s="3973"/>
      <c r="N171" s="3973"/>
      <c r="O171" s="3973"/>
      <c r="P171" s="3973"/>
      <c r="Q171" s="3974"/>
    </row>
    <row r="172" spans="1:31" ht="3" customHeight="1">
      <c r="A172" s="1401"/>
      <c r="B172" s="2673"/>
      <c r="C172" s="2656"/>
      <c r="D172" s="2656"/>
      <c r="E172" s="2656"/>
      <c r="F172" s="2656"/>
      <c r="G172" s="2656"/>
      <c r="H172" s="2656"/>
      <c r="I172" s="2656"/>
      <c r="J172" s="2656"/>
      <c r="K172" s="2656"/>
      <c r="L172" s="2656"/>
      <c r="M172" s="2656"/>
      <c r="Q172" s="1401"/>
    </row>
    <row r="173" spans="1:31" ht="14.1" customHeight="1">
      <c r="A173" s="2651" t="s">
        <v>407</v>
      </c>
      <c r="B173" s="2651" t="s">
        <v>2515</v>
      </c>
      <c r="C173" s="2651"/>
      <c r="D173" s="2656"/>
      <c r="E173" s="2656"/>
      <c r="F173" s="2656"/>
      <c r="G173" s="2656"/>
      <c r="H173" s="2656"/>
      <c r="I173" s="2656"/>
      <c r="J173" s="2656"/>
      <c r="K173" s="2656"/>
      <c r="L173" s="2656"/>
      <c r="M173" s="2656"/>
      <c r="O173" s="130" t="s">
        <v>1781</v>
      </c>
      <c r="P173" s="3963"/>
      <c r="Q173" s="3964"/>
    </row>
    <row r="174" spans="1:31" ht="21.75" customHeight="1">
      <c r="A174" s="140" t="s">
        <v>1893</v>
      </c>
      <c r="B174" s="3951" t="s">
        <v>3365</v>
      </c>
      <c r="C174" s="3951"/>
      <c r="D174" s="3951"/>
      <c r="E174" s="3951"/>
      <c r="F174" s="3951"/>
      <c r="G174" s="3951"/>
      <c r="H174" s="3951"/>
      <c r="I174" s="3951"/>
      <c r="J174" s="3951"/>
      <c r="K174" s="3951"/>
      <c r="L174" s="3951"/>
      <c r="M174" s="3951"/>
      <c r="N174" s="3951"/>
      <c r="O174" s="159" t="s">
        <v>1893</v>
      </c>
      <c r="P174" s="2502" t="s">
        <v>2769</v>
      </c>
      <c r="Q174" s="2968"/>
    </row>
    <row r="175" spans="1:31" ht="22.35" customHeight="1">
      <c r="A175" s="140" t="s">
        <v>1895</v>
      </c>
      <c r="B175" s="3951" t="s">
        <v>3959</v>
      </c>
      <c r="C175" s="3951"/>
      <c r="D175" s="3951"/>
      <c r="E175" s="3951"/>
      <c r="F175" s="3951"/>
      <c r="G175" s="3951"/>
      <c r="H175" s="3951"/>
      <c r="I175" s="3951"/>
      <c r="J175" s="3951"/>
      <c r="K175" s="3951"/>
      <c r="L175" s="3951"/>
      <c r="M175" s="3951"/>
      <c r="N175" s="3951"/>
      <c r="O175" s="159" t="s">
        <v>1895</v>
      </c>
      <c r="P175" s="2658" t="s">
        <v>6929</v>
      </c>
      <c r="Q175" s="2961"/>
    </row>
    <row r="176" spans="1:31" ht="22.35" customHeight="1">
      <c r="A176" s="140" t="s">
        <v>719</v>
      </c>
      <c r="B176" s="3951" t="s">
        <v>3366</v>
      </c>
      <c r="C176" s="3951"/>
      <c r="D176" s="3951"/>
      <c r="E176" s="3951"/>
      <c r="F176" s="3951"/>
      <c r="G176" s="3951"/>
      <c r="H176" s="3951"/>
      <c r="I176" s="3951"/>
      <c r="J176" s="3951"/>
      <c r="K176" s="3951"/>
      <c r="L176" s="3951"/>
      <c r="M176" s="3951"/>
      <c r="N176" s="3951"/>
      <c r="O176" s="159" t="s">
        <v>719</v>
      </c>
      <c r="P176" s="2658" t="s">
        <v>6929</v>
      </c>
      <c r="Q176" s="2961"/>
    </row>
    <row r="177" spans="1:32" ht="21.75" customHeight="1">
      <c r="A177" s="140" t="s">
        <v>2021</v>
      </c>
      <c r="B177" s="3951" t="s">
        <v>4007</v>
      </c>
      <c r="C177" s="3951"/>
      <c r="D177" s="3951"/>
      <c r="E177" s="3951"/>
      <c r="F177" s="3951"/>
      <c r="G177" s="3951"/>
      <c r="H177" s="3951"/>
      <c r="I177" s="3951"/>
      <c r="J177" s="3951"/>
      <c r="K177" s="3951"/>
      <c r="L177" s="3951"/>
      <c r="M177" s="3951"/>
      <c r="N177" s="3951"/>
      <c r="O177" s="159" t="s">
        <v>2021</v>
      </c>
      <c r="P177" s="2659" t="s">
        <v>6929</v>
      </c>
      <c r="Q177" s="2963"/>
    </row>
    <row r="178" spans="1:32" ht="12" customHeight="1">
      <c r="B178" s="139" t="s">
        <v>3371</v>
      </c>
      <c r="D178" s="139"/>
      <c r="E178" s="139"/>
      <c r="F178" s="139"/>
      <c r="G178" s="139"/>
      <c r="H178" s="40"/>
      <c r="I178" s="2673"/>
      <c r="J178" s="2673"/>
      <c r="K178" s="2673"/>
      <c r="L178" s="1401"/>
      <c r="M178" s="1401"/>
      <c r="N178" s="1401"/>
      <c r="O178" s="1401"/>
      <c r="P178" s="1401"/>
      <c r="Q178" s="782"/>
    </row>
    <row r="179" spans="1:32" ht="11.45" customHeight="1">
      <c r="A179" s="3965" t="s">
        <v>7020</v>
      </c>
      <c r="B179" s="3966"/>
      <c r="C179" s="3966"/>
      <c r="D179" s="3966"/>
      <c r="E179" s="3966"/>
      <c r="F179" s="3966"/>
      <c r="G179" s="3966"/>
      <c r="H179" s="3966"/>
      <c r="I179" s="3966"/>
      <c r="J179" s="3966"/>
      <c r="K179" s="3966"/>
      <c r="L179" s="3966"/>
      <c r="M179" s="3966"/>
      <c r="N179" s="3966"/>
      <c r="O179" s="3966"/>
      <c r="P179" s="3966"/>
      <c r="Q179" s="3967"/>
      <c r="U179" s="134"/>
      <c r="V179" s="134"/>
      <c r="W179" s="134"/>
      <c r="X179" s="134"/>
      <c r="Y179" s="134"/>
      <c r="Z179" s="134"/>
      <c r="AA179" s="134"/>
      <c r="AB179" s="134"/>
      <c r="AC179" s="134"/>
      <c r="AD179" s="134"/>
      <c r="AE179" s="441"/>
    </row>
    <row r="180" spans="1:32" ht="12" customHeight="1">
      <c r="B180" s="135" t="s">
        <v>1780</v>
      </c>
      <c r="C180" s="136"/>
      <c r="D180" s="2656"/>
      <c r="E180" s="2656"/>
      <c r="F180" s="2656"/>
      <c r="G180" s="2656"/>
      <c r="H180" s="2656"/>
      <c r="I180" s="2656"/>
      <c r="J180" s="2656"/>
      <c r="K180" s="2656"/>
      <c r="L180" s="2656"/>
      <c r="M180" s="2656"/>
      <c r="N180" s="2656"/>
      <c r="O180" s="2656"/>
      <c r="P180" s="2656"/>
      <c r="Q180" s="2656"/>
    </row>
    <row r="181" spans="1:32" ht="11.45" customHeight="1">
      <c r="A181" s="3972"/>
      <c r="B181" s="3973"/>
      <c r="C181" s="3973"/>
      <c r="D181" s="3973"/>
      <c r="E181" s="3973"/>
      <c r="F181" s="3973"/>
      <c r="G181" s="3973"/>
      <c r="H181" s="3973"/>
      <c r="I181" s="3973"/>
      <c r="J181" s="3973"/>
      <c r="K181" s="3973"/>
      <c r="L181" s="3973"/>
      <c r="M181" s="3973"/>
      <c r="N181" s="3973"/>
      <c r="O181" s="3973"/>
      <c r="P181" s="3973"/>
      <c r="Q181" s="3974"/>
    </row>
    <row r="182" spans="1:32" ht="3" customHeight="1">
      <c r="B182" s="2673"/>
      <c r="C182" s="2656"/>
      <c r="D182" s="2656"/>
      <c r="E182" s="2656"/>
      <c r="F182" s="2656"/>
      <c r="G182" s="2656"/>
      <c r="H182" s="2656"/>
      <c r="I182" s="2656"/>
      <c r="J182" s="2656"/>
      <c r="K182" s="2656"/>
      <c r="L182" s="2656"/>
      <c r="M182" s="2656"/>
      <c r="N182" s="2656"/>
      <c r="O182" s="2656"/>
      <c r="P182" s="2656"/>
      <c r="Q182" s="1401"/>
    </row>
    <row r="183" spans="1:32" ht="14.1" customHeight="1">
      <c r="A183" s="2626" t="s">
        <v>346</v>
      </c>
      <c r="B183" s="3858" t="s">
        <v>2516</v>
      </c>
      <c r="C183" s="3858"/>
      <c r="D183" s="3858"/>
      <c r="F183" s="380" t="s">
        <v>6378</v>
      </c>
      <c r="O183" s="130" t="s">
        <v>1781</v>
      </c>
      <c r="P183" s="3963"/>
      <c r="Q183" s="3964"/>
    </row>
    <row r="184" spans="1:32" s="27" customFormat="1" ht="11.45" customHeight="1">
      <c r="B184" s="55" t="s">
        <v>6449</v>
      </c>
      <c r="N184" s="119"/>
      <c r="P184" s="2489" t="s">
        <v>2772</v>
      </c>
      <c r="Q184" s="2967"/>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3"/>
    </row>
    <row r="186" spans="1:32" ht="12" customHeight="1">
      <c r="A186" s="140" t="s">
        <v>1895</v>
      </c>
      <c r="B186" s="773" t="s">
        <v>6334</v>
      </c>
      <c r="D186" s="773"/>
      <c r="E186" s="773"/>
      <c r="F186" s="773"/>
      <c r="G186" s="773"/>
      <c r="H186" s="773"/>
      <c r="I186" s="773"/>
      <c r="J186" s="773"/>
      <c r="K186" s="773"/>
      <c r="L186" s="773"/>
      <c r="M186" s="773"/>
      <c r="O186" s="159" t="s">
        <v>1895</v>
      </c>
      <c r="P186" s="2667" t="s">
        <v>2769</v>
      </c>
      <c r="Q186" s="2954"/>
    </row>
    <row r="187" spans="1:32" ht="12" customHeight="1">
      <c r="A187" s="140" t="s">
        <v>719</v>
      </c>
      <c r="B187" s="773" t="s">
        <v>2504</v>
      </c>
      <c r="D187" s="773"/>
      <c r="E187" s="773"/>
      <c r="F187" s="773"/>
      <c r="G187" s="773"/>
      <c r="H187" s="773"/>
      <c r="I187" s="773"/>
      <c r="J187" s="138" t="s">
        <v>4009</v>
      </c>
      <c r="L187" s="773"/>
      <c r="M187" s="773"/>
      <c r="O187" s="159" t="s">
        <v>719</v>
      </c>
      <c r="P187" s="2667" t="s">
        <v>2769</v>
      </c>
      <c r="Q187" s="2954"/>
    </row>
    <row r="188" spans="1:32" ht="12" customHeight="1">
      <c r="B188" s="40" t="s">
        <v>1658</v>
      </c>
      <c r="C188" s="783" t="s">
        <v>2505</v>
      </c>
      <c r="G188" s="773"/>
      <c r="H188" s="773"/>
      <c r="J188" s="773"/>
      <c r="K188" s="773"/>
      <c r="L188" s="773"/>
      <c r="M188" s="773"/>
      <c r="O188" s="425" t="s">
        <v>1658</v>
      </c>
      <c r="P188" s="2667" t="s">
        <v>2769</v>
      </c>
      <c r="Q188" s="2954"/>
    </row>
    <row r="189" spans="1:32" ht="12" customHeight="1">
      <c r="A189" s="138"/>
      <c r="B189" s="40" t="s">
        <v>1659</v>
      </c>
      <c r="C189" s="783" t="s">
        <v>2506</v>
      </c>
      <c r="G189" s="773"/>
      <c r="H189" s="773"/>
      <c r="I189" s="773"/>
      <c r="J189" s="773"/>
      <c r="K189" s="773"/>
      <c r="L189" s="773"/>
      <c r="M189" s="773"/>
      <c r="O189" s="425" t="s">
        <v>1659</v>
      </c>
      <c r="P189" s="2667" t="s">
        <v>2769</v>
      </c>
      <c r="Q189" s="2954"/>
    </row>
    <row r="190" spans="1:32" s="131" customFormat="1" ht="21.75" customHeight="1">
      <c r="A190" s="140"/>
      <c r="B190" s="451" t="s">
        <v>1660</v>
      </c>
      <c r="C190" s="3951" t="s">
        <v>3367</v>
      </c>
      <c r="D190" s="3951"/>
      <c r="E190" s="3951"/>
      <c r="F190" s="3951"/>
      <c r="G190" s="3951"/>
      <c r="H190" s="3951"/>
      <c r="I190" s="3951"/>
      <c r="J190" s="3951"/>
      <c r="K190" s="3951"/>
      <c r="L190" s="3951"/>
      <c r="M190" s="3951"/>
      <c r="N190" s="3951"/>
      <c r="O190" s="159" t="s">
        <v>1660</v>
      </c>
      <c r="P190" s="2658" t="s">
        <v>2769</v>
      </c>
      <c r="Q190" s="2961"/>
      <c r="AE190" s="442"/>
      <c r="AF190" s="442"/>
    </row>
    <row r="191" spans="1:32" ht="12" customHeight="1">
      <c r="A191" s="140"/>
      <c r="B191" s="40" t="s">
        <v>2260</v>
      </c>
      <c r="C191" s="783" t="s">
        <v>2507</v>
      </c>
      <c r="G191" s="773"/>
      <c r="H191" s="773"/>
      <c r="I191" s="773"/>
      <c r="J191" s="773"/>
      <c r="K191" s="773"/>
      <c r="L191" s="773"/>
      <c r="M191" s="773"/>
      <c r="O191" s="425" t="s">
        <v>2260</v>
      </c>
      <c r="P191" s="2667" t="s">
        <v>2769</v>
      </c>
      <c r="Q191" s="2954"/>
    </row>
    <row r="192" spans="1:32" s="131" customFormat="1" ht="21.75" customHeight="1">
      <c r="A192" s="140"/>
      <c r="B192" s="451" t="s">
        <v>1487</v>
      </c>
      <c r="C192" s="3951" t="s">
        <v>2508</v>
      </c>
      <c r="D192" s="3951"/>
      <c r="E192" s="3951"/>
      <c r="F192" s="3951"/>
      <c r="G192" s="3951"/>
      <c r="H192" s="3951"/>
      <c r="I192" s="3951"/>
      <c r="J192" s="3951"/>
      <c r="K192" s="3951"/>
      <c r="L192" s="3951"/>
      <c r="M192" s="3951"/>
      <c r="N192" s="3951"/>
      <c r="O192" s="159" t="s">
        <v>1487</v>
      </c>
      <c r="P192" s="2658" t="s">
        <v>6929</v>
      </c>
      <c r="Q192" s="2961"/>
      <c r="AE192" s="442"/>
      <c r="AF192" s="442"/>
    </row>
    <row r="193" spans="1:32" s="131" customFormat="1" ht="21.75" customHeight="1">
      <c r="A193" s="140"/>
      <c r="B193" s="451" t="s">
        <v>1488</v>
      </c>
      <c r="C193" s="3951" t="s">
        <v>3445</v>
      </c>
      <c r="D193" s="3951"/>
      <c r="E193" s="3951"/>
      <c r="F193" s="3951"/>
      <c r="G193" s="3951"/>
      <c r="H193" s="3951"/>
      <c r="I193" s="3951"/>
      <c r="J193" s="3951"/>
      <c r="K193" s="3951"/>
      <c r="L193" s="3951"/>
      <c r="M193" s="3951"/>
      <c r="N193" s="3951"/>
      <c r="O193" s="159" t="s">
        <v>1488</v>
      </c>
      <c r="P193" s="2658" t="s">
        <v>6929</v>
      </c>
      <c r="Q193" s="2961"/>
      <c r="AE193" s="442"/>
      <c r="AF193" s="442"/>
    </row>
    <row r="194" spans="1:32" ht="21.75" customHeight="1">
      <c r="A194" s="140" t="s">
        <v>2021</v>
      </c>
      <c r="B194" s="3951" t="s">
        <v>2509</v>
      </c>
      <c r="C194" s="3951"/>
      <c r="D194" s="3951"/>
      <c r="E194" s="3951"/>
      <c r="F194" s="3951"/>
      <c r="G194" s="3951"/>
      <c r="H194" s="3951"/>
      <c r="I194" s="3951"/>
      <c r="J194" s="3951"/>
      <c r="K194" s="3951"/>
      <c r="L194" s="3951"/>
      <c r="M194" s="3951"/>
      <c r="N194" s="3951"/>
      <c r="O194" s="159" t="s">
        <v>2021</v>
      </c>
      <c r="P194" s="2658" t="s">
        <v>2769</v>
      </c>
      <c r="Q194" s="2961"/>
    </row>
    <row r="195" spans="1:32" ht="12" customHeight="1">
      <c r="A195" s="140" t="s">
        <v>1656</v>
      </c>
      <c r="B195" s="773" t="s">
        <v>2273</v>
      </c>
      <c r="D195" s="773"/>
      <c r="E195" s="773"/>
      <c r="F195" s="773"/>
      <c r="G195" s="773"/>
      <c r="H195" s="773"/>
      <c r="I195" s="773"/>
      <c r="J195" s="773"/>
      <c r="K195" s="773"/>
      <c r="L195" s="773"/>
      <c r="M195" s="773"/>
      <c r="O195" s="159" t="s">
        <v>1656</v>
      </c>
      <c r="P195" s="2672" t="s">
        <v>2769</v>
      </c>
      <c r="Q195" s="2955"/>
    </row>
    <row r="196" spans="1:32" ht="12" customHeight="1">
      <c r="B196" s="139" t="s">
        <v>3371</v>
      </c>
      <c r="D196" s="139"/>
      <c r="E196" s="139"/>
      <c r="F196" s="139"/>
      <c r="G196" s="139"/>
      <c r="H196" s="40"/>
      <c r="I196" s="2673"/>
      <c r="J196" s="2673"/>
      <c r="K196" s="2673"/>
      <c r="L196" s="1401"/>
      <c r="M196" s="1401"/>
      <c r="N196" s="1401"/>
      <c r="O196" s="1401"/>
      <c r="P196" s="1401"/>
      <c r="Q196" s="782"/>
    </row>
    <row r="197" spans="1:32" ht="24.75" customHeight="1">
      <c r="A197" s="3965" t="s">
        <v>7010</v>
      </c>
      <c r="B197" s="3966"/>
      <c r="C197" s="3966"/>
      <c r="D197" s="3966"/>
      <c r="E197" s="3966"/>
      <c r="F197" s="3966"/>
      <c r="G197" s="3966"/>
      <c r="H197" s="3966"/>
      <c r="I197" s="3966"/>
      <c r="J197" s="3966"/>
      <c r="K197" s="3966"/>
      <c r="L197" s="3966"/>
      <c r="M197" s="3966"/>
      <c r="N197" s="3966"/>
      <c r="O197" s="3966"/>
      <c r="P197" s="3966"/>
      <c r="Q197" s="3967"/>
      <c r="U197" s="134"/>
      <c r="V197" s="134"/>
      <c r="W197" s="134"/>
      <c r="X197" s="134"/>
      <c r="Y197" s="134"/>
      <c r="Z197" s="134"/>
      <c r="AA197" s="134"/>
      <c r="AB197" s="134"/>
      <c r="AC197" s="134"/>
      <c r="AD197" s="134"/>
      <c r="AE197" s="441"/>
    </row>
    <row r="198" spans="1:32" ht="12" customHeight="1">
      <c r="B198" s="135" t="s">
        <v>1780</v>
      </c>
      <c r="C198" s="136"/>
      <c r="D198" s="2656"/>
      <c r="E198" s="2656"/>
      <c r="F198" s="2656"/>
      <c r="G198" s="2656"/>
      <c r="H198" s="2656"/>
      <c r="I198" s="2656"/>
      <c r="J198" s="2656"/>
      <c r="K198" s="2656"/>
      <c r="L198" s="2656"/>
      <c r="M198" s="2656"/>
      <c r="N198" s="2656"/>
      <c r="O198" s="2656"/>
      <c r="P198" s="2656"/>
      <c r="Q198" s="2656"/>
    </row>
    <row r="199" spans="1:32" ht="11.45" customHeight="1">
      <c r="A199" s="3972"/>
      <c r="B199" s="3973"/>
      <c r="C199" s="3973"/>
      <c r="D199" s="3973"/>
      <c r="E199" s="3973"/>
      <c r="F199" s="3973"/>
      <c r="G199" s="3973"/>
      <c r="H199" s="3973"/>
      <c r="I199" s="3973"/>
      <c r="J199" s="3973"/>
      <c r="K199" s="3973"/>
      <c r="L199" s="3973"/>
      <c r="M199" s="3973"/>
      <c r="N199" s="3973"/>
      <c r="O199" s="3973"/>
      <c r="P199" s="3973"/>
      <c r="Q199" s="3974"/>
    </row>
    <row r="200" spans="1:32" ht="3" customHeight="1">
      <c r="A200" s="1401"/>
      <c r="B200" s="2673"/>
      <c r="C200" s="2656"/>
      <c r="D200" s="2656"/>
      <c r="E200" s="2656"/>
      <c r="F200" s="2656"/>
      <c r="G200" s="2656"/>
      <c r="H200" s="2656"/>
      <c r="I200" s="2656"/>
      <c r="J200" s="2656"/>
      <c r="K200" s="2656"/>
      <c r="L200" s="2656"/>
      <c r="M200" s="2656"/>
      <c r="N200" s="2656"/>
      <c r="O200" s="2656"/>
      <c r="P200" s="2656"/>
      <c r="Q200" s="1401"/>
    </row>
    <row r="201" spans="1:32" ht="14.1" customHeight="1">
      <c r="A201" s="2651" t="s">
        <v>347</v>
      </c>
      <c r="B201" s="2651" t="s">
        <v>2517</v>
      </c>
      <c r="C201" s="2651"/>
      <c r="D201" s="2656"/>
      <c r="E201" s="145"/>
      <c r="F201" s="380" t="s">
        <v>6378</v>
      </c>
      <c r="G201" s="2656"/>
      <c r="J201" s="784"/>
      <c r="K201" s="784"/>
      <c r="L201" s="784"/>
      <c r="M201" s="784"/>
      <c r="N201" s="784"/>
      <c r="O201" s="130" t="s">
        <v>1781</v>
      </c>
      <c r="P201" s="3963"/>
      <c r="Q201" s="3964"/>
    </row>
    <row r="202" spans="1:32" s="27" customFormat="1" ht="12.75" customHeight="1">
      <c r="B202" s="55" t="s">
        <v>6449</v>
      </c>
      <c r="N202" s="119"/>
      <c r="P202" s="2489" t="s">
        <v>2772</v>
      </c>
      <c r="Q202" s="2967"/>
      <c r="AE202" s="115"/>
      <c r="AF202" s="115"/>
    </row>
    <row r="203" spans="1:32" ht="33.75" customHeight="1">
      <c r="B203" s="3962" t="s">
        <v>6335</v>
      </c>
      <c r="C203" s="3962"/>
      <c r="D203" s="3962"/>
      <c r="E203" s="3962"/>
      <c r="F203" s="3962"/>
      <c r="G203" s="3962"/>
      <c r="H203" s="3962"/>
      <c r="I203" s="3962"/>
      <c r="J203" s="3962"/>
      <c r="K203" s="3962"/>
      <c r="L203" s="3962"/>
      <c r="M203" s="3962"/>
      <c r="N203" s="3962"/>
      <c r="O203" s="3962"/>
      <c r="P203" s="963"/>
      <c r="Q203" s="963"/>
    </row>
    <row r="204" spans="1:32" ht="12.75" customHeight="1">
      <c r="A204" s="137"/>
      <c r="B204" s="138" t="s">
        <v>91</v>
      </c>
      <c r="D204" s="138"/>
      <c r="E204" s="138"/>
      <c r="F204" s="138"/>
      <c r="G204" s="138"/>
      <c r="H204" s="65" t="s">
        <v>1658</v>
      </c>
      <c r="I204" s="52" t="s">
        <v>144</v>
      </c>
      <c r="J204" s="3956" t="s">
        <v>2933</v>
      </c>
      <c r="K204" s="3957"/>
      <c r="L204" s="3957"/>
      <c r="M204" s="3957"/>
      <c r="N204" s="3958"/>
      <c r="O204" s="65" t="s">
        <v>1658</v>
      </c>
      <c r="P204" s="2492" t="s">
        <v>2772</v>
      </c>
      <c r="Q204" s="2953"/>
    </row>
    <row r="205" spans="1:32" ht="12.75" customHeight="1">
      <c r="A205" s="137"/>
      <c r="B205" s="139" t="s">
        <v>3371</v>
      </c>
      <c r="C205" s="103"/>
      <c r="D205" s="103"/>
      <c r="E205" s="103"/>
      <c r="F205" s="103"/>
      <c r="H205" s="65" t="s">
        <v>1659</v>
      </c>
      <c r="I205" s="52" t="s">
        <v>1530</v>
      </c>
      <c r="J205" s="3959" t="s">
        <v>6945</v>
      </c>
      <c r="K205" s="3960"/>
      <c r="L205" s="3960"/>
      <c r="M205" s="3960"/>
      <c r="N205" s="3961"/>
      <c r="O205" s="65" t="s">
        <v>1659</v>
      </c>
      <c r="P205" s="2672" t="s">
        <v>2769</v>
      </c>
      <c r="Q205" s="2955"/>
    </row>
    <row r="206" spans="1:32" ht="12.75" customHeight="1">
      <c r="A206" s="3965" t="s">
        <v>6946</v>
      </c>
      <c r="B206" s="3966"/>
      <c r="C206" s="3966"/>
      <c r="D206" s="3966"/>
      <c r="E206" s="3966"/>
      <c r="F206" s="3966"/>
      <c r="G206" s="3966"/>
      <c r="H206" s="3966"/>
      <c r="I206" s="3966"/>
      <c r="J206" s="3966"/>
      <c r="K206" s="3966"/>
      <c r="L206" s="3966"/>
      <c r="M206" s="3966"/>
      <c r="N206" s="3966"/>
      <c r="O206" s="3966"/>
      <c r="P206" s="3966"/>
      <c r="Q206" s="3967"/>
      <c r="U206" s="134"/>
      <c r="V206" s="134"/>
      <c r="W206" s="134"/>
      <c r="X206" s="134"/>
      <c r="Y206" s="134"/>
      <c r="Z206" s="134"/>
      <c r="AA206" s="134"/>
      <c r="AB206" s="134"/>
      <c r="AC206" s="134"/>
      <c r="AD206" s="134"/>
      <c r="AE206" s="441"/>
    </row>
    <row r="207" spans="1:32" ht="12.75" customHeight="1">
      <c r="B207" s="135" t="s">
        <v>1780</v>
      </c>
      <c r="C207" s="136"/>
      <c r="D207" s="2656"/>
      <c r="E207" s="2656"/>
      <c r="F207" s="2656"/>
      <c r="G207" s="2656"/>
      <c r="H207" s="2656"/>
      <c r="I207" s="2656"/>
      <c r="J207" s="2656"/>
      <c r="K207" s="2656"/>
      <c r="L207" s="2656"/>
      <c r="M207" s="2656"/>
      <c r="N207" s="2656"/>
      <c r="O207" s="2656"/>
      <c r="P207" s="2656"/>
      <c r="Q207" s="2656"/>
    </row>
    <row r="208" spans="1:32" ht="12.75" customHeight="1">
      <c r="A208" s="3972"/>
      <c r="B208" s="3973"/>
      <c r="C208" s="3973"/>
      <c r="D208" s="3973"/>
      <c r="E208" s="3973"/>
      <c r="F208" s="3973"/>
      <c r="G208" s="3973"/>
      <c r="H208" s="3973"/>
      <c r="I208" s="3973"/>
      <c r="J208" s="3973"/>
      <c r="K208" s="3973"/>
      <c r="L208" s="3973"/>
      <c r="M208" s="3973"/>
      <c r="N208" s="3973"/>
      <c r="O208" s="3973"/>
      <c r="P208" s="3973"/>
      <c r="Q208" s="3974"/>
    </row>
    <row r="209" spans="1:32" ht="4.3499999999999996" customHeight="1">
      <c r="B209" s="2673"/>
      <c r="C209" s="2656"/>
      <c r="D209" s="2656"/>
      <c r="E209" s="2656"/>
      <c r="F209" s="2656"/>
      <c r="G209" s="2656"/>
      <c r="H209" s="2656"/>
      <c r="I209" s="2656"/>
      <c r="J209" s="2656"/>
      <c r="K209" s="2656"/>
      <c r="L209" s="2656"/>
      <c r="M209" s="2656"/>
      <c r="Q209" s="782"/>
    </row>
    <row r="210" spans="1:32" ht="14.1" customHeight="1">
      <c r="A210" s="2651" t="s">
        <v>348</v>
      </c>
      <c r="B210" s="4" t="s">
        <v>2518</v>
      </c>
      <c r="C210" s="4"/>
      <c r="D210" s="86"/>
      <c r="E210" s="86"/>
      <c r="F210" s="86"/>
      <c r="G210" s="2656"/>
      <c r="H210" s="2656"/>
      <c r="I210" s="1619" t="s">
        <v>6379</v>
      </c>
      <c r="J210" s="2656"/>
      <c r="K210" s="2656"/>
      <c r="L210" s="2656"/>
      <c r="M210" s="2656"/>
      <c r="O210" s="130" t="s">
        <v>1781</v>
      </c>
      <c r="P210" s="3963"/>
      <c r="Q210" s="3964"/>
    </row>
    <row r="211" spans="1:32" s="27" customFormat="1" ht="12.75" customHeight="1">
      <c r="B211" s="55" t="s">
        <v>6449</v>
      </c>
      <c r="N211" s="119"/>
      <c r="P211" s="2489" t="s">
        <v>2772</v>
      </c>
      <c r="Q211" s="2967"/>
      <c r="AE211" s="115"/>
      <c r="AF211" s="115"/>
    </row>
    <row r="212" spans="1:32" ht="12.75" customHeight="1">
      <c r="A212" s="140" t="s">
        <v>1893</v>
      </c>
      <c r="B212" s="3951" t="s">
        <v>1763</v>
      </c>
      <c r="C212" s="3951"/>
      <c r="D212" s="3951"/>
      <c r="E212" s="3951"/>
      <c r="F212" s="3951"/>
      <c r="G212" s="3951"/>
      <c r="H212" s="65" t="s">
        <v>1658</v>
      </c>
      <c r="I212" s="52" t="s">
        <v>605</v>
      </c>
      <c r="J212" s="3956" t="s">
        <v>6947</v>
      </c>
      <c r="K212" s="3957"/>
      <c r="L212" s="3957"/>
      <c r="M212" s="3957"/>
      <c r="N212" s="3958"/>
      <c r="O212" s="159" t="s">
        <v>1427</v>
      </c>
      <c r="P212" s="2669" t="s">
        <v>2769</v>
      </c>
      <c r="Q212" s="2959"/>
    </row>
    <row r="213" spans="1:32" ht="12.75" customHeight="1">
      <c r="A213" s="148"/>
      <c r="B213" s="3951"/>
      <c r="C213" s="3951"/>
      <c r="D213" s="3951"/>
      <c r="E213" s="3951"/>
      <c r="F213" s="3951"/>
      <c r="G213" s="3951"/>
      <c r="H213" s="65" t="s">
        <v>1659</v>
      </c>
      <c r="I213" s="52" t="s">
        <v>109</v>
      </c>
      <c r="J213" s="3959" t="s">
        <v>6947</v>
      </c>
      <c r="K213" s="3960"/>
      <c r="L213" s="3960"/>
      <c r="M213" s="3960"/>
      <c r="N213" s="3961"/>
      <c r="O213" s="159" t="s">
        <v>1659</v>
      </c>
      <c r="P213" s="2667" t="s">
        <v>2769</v>
      </c>
      <c r="Q213" s="2954"/>
    </row>
    <row r="214" spans="1:32" ht="12.75" customHeight="1">
      <c r="A214" s="140" t="s">
        <v>1895</v>
      </c>
      <c r="B214" s="52" t="s">
        <v>3449</v>
      </c>
      <c r="D214" s="52"/>
      <c r="E214" s="52"/>
      <c r="F214" s="52"/>
      <c r="G214" s="52"/>
      <c r="H214" s="52"/>
      <c r="I214" s="52"/>
      <c r="J214" s="52"/>
      <c r="K214" s="42"/>
      <c r="L214" s="52"/>
      <c r="M214" s="52"/>
      <c r="O214" s="439" t="s">
        <v>1895</v>
      </c>
      <c r="P214" s="2667" t="s">
        <v>2772</v>
      </c>
      <c r="Q214" s="2954"/>
    </row>
    <row r="215" spans="1:32" ht="12.75" customHeight="1">
      <c r="A215" s="47" t="s">
        <v>719</v>
      </c>
      <c r="B215" s="52" t="s">
        <v>3450</v>
      </c>
      <c r="D215" s="52"/>
      <c r="E215" s="52"/>
      <c r="F215" s="52"/>
      <c r="G215" s="52"/>
      <c r="H215" s="52"/>
      <c r="I215" s="52"/>
      <c r="J215" s="52"/>
      <c r="K215" s="42"/>
      <c r="L215" s="52"/>
      <c r="M215" s="52"/>
      <c r="O215" s="439" t="s">
        <v>719</v>
      </c>
      <c r="P215" s="2672" t="s">
        <v>2772</v>
      </c>
      <c r="Q215" s="2955"/>
    </row>
    <row r="216" spans="1:32" ht="12.75" customHeight="1">
      <c r="B216" s="139" t="s">
        <v>3371</v>
      </c>
      <c r="D216" s="139"/>
      <c r="E216" s="139"/>
      <c r="F216" s="139"/>
      <c r="G216" s="139"/>
      <c r="H216" s="40"/>
      <c r="I216" s="2673"/>
      <c r="J216" s="2673"/>
      <c r="K216" s="2673"/>
      <c r="L216" s="1401"/>
      <c r="M216" s="1401"/>
      <c r="N216" s="1401"/>
      <c r="O216" s="1401"/>
      <c r="P216" s="1401"/>
      <c r="Q216" s="782"/>
    </row>
    <row r="217" spans="1:32" ht="12.75" customHeight="1">
      <c r="A217" s="3965" t="s">
        <v>7011</v>
      </c>
      <c r="B217" s="3966"/>
      <c r="C217" s="3966"/>
      <c r="D217" s="3966"/>
      <c r="E217" s="3966"/>
      <c r="F217" s="3966"/>
      <c r="G217" s="3966"/>
      <c r="H217" s="3966"/>
      <c r="I217" s="3966"/>
      <c r="J217" s="3966"/>
      <c r="K217" s="3966"/>
      <c r="L217" s="3966"/>
      <c r="M217" s="3966"/>
      <c r="N217" s="3966"/>
      <c r="O217" s="3966"/>
      <c r="P217" s="3966"/>
      <c r="Q217" s="3967"/>
      <c r="U217" s="134"/>
      <c r="V217" s="134"/>
      <c r="W217" s="134"/>
      <c r="X217" s="134"/>
      <c r="Y217" s="134"/>
      <c r="Z217" s="134"/>
      <c r="AA217" s="134"/>
      <c r="AB217" s="134"/>
      <c r="AC217" s="134"/>
      <c r="AD217" s="134"/>
      <c r="AE217" s="441"/>
    </row>
    <row r="218" spans="1:32" ht="12.75" customHeight="1">
      <c r="B218" s="135" t="s">
        <v>1780</v>
      </c>
      <c r="C218" s="136"/>
      <c r="D218" s="2656"/>
      <c r="E218" s="2656"/>
      <c r="F218" s="2656"/>
      <c r="G218" s="2656"/>
      <c r="H218" s="2656"/>
      <c r="I218" s="2656"/>
      <c r="J218" s="2656"/>
      <c r="K218" s="2656"/>
      <c r="L218" s="2656"/>
      <c r="M218" s="2656"/>
      <c r="N218" s="2656"/>
      <c r="O218" s="2656"/>
      <c r="P218" s="2656"/>
      <c r="Q218" s="2656"/>
    </row>
    <row r="219" spans="1:32" ht="12.75" customHeight="1">
      <c r="A219" s="3972"/>
      <c r="B219" s="3973"/>
      <c r="C219" s="3973"/>
      <c r="D219" s="3973"/>
      <c r="E219" s="3973"/>
      <c r="F219" s="3973"/>
      <c r="G219" s="3973"/>
      <c r="H219" s="3973"/>
      <c r="I219" s="3973"/>
      <c r="J219" s="3973"/>
      <c r="K219" s="3973"/>
      <c r="L219" s="3973"/>
      <c r="M219" s="3973"/>
      <c r="N219" s="3973"/>
      <c r="O219" s="3973"/>
      <c r="P219" s="3973"/>
      <c r="Q219" s="3974"/>
    </row>
    <row r="220" spans="1:32" ht="3" customHeight="1">
      <c r="A220" s="1401"/>
      <c r="B220" s="2673"/>
      <c r="C220" s="2656"/>
      <c r="D220" s="2656"/>
      <c r="E220" s="2656"/>
      <c r="F220" s="2656"/>
      <c r="G220" s="2656"/>
      <c r="H220" s="2656"/>
      <c r="I220" s="2656"/>
      <c r="J220" s="2656"/>
      <c r="K220" s="2656"/>
      <c r="L220" s="2656"/>
      <c r="M220" s="2656"/>
      <c r="Q220" s="1401"/>
    </row>
    <row r="221" spans="1:32" ht="14.1" customHeight="1">
      <c r="A221" s="2651" t="s">
        <v>1648</v>
      </c>
      <c r="B221" s="2651" t="s">
        <v>2519</v>
      </c>
      <c r="C221" s="112"/>
      <c r="D221" s="2656"/>
      <c r="E221" s="2656"/>
      <c r="F221" s="2656"/>
      <c r="G221" s="2656"/>
      <c r="H221" s="2656"/>
      <c r="I221" s="2656"/>
      <c r="J221" s="2656"/>
      <c r="K221" s="2656"/>
      <c r="L221" s="2656"/>
      <c r="M221" s="2656"/>
      <c r="O221" s="130" t="s">
        <v>1781</v>
      </c>
      <c r="P221" s="3963"/>
      <c r="Q221" s="3964"/>
    </row>
    <row r="222" spans="1:32" s="27" customFormat="1" ht="12.75" customHeight="1">
      <c r="B222" s="143" t="s">
        <v>1147</v>
      </c>
      <c r="N222" s="119"/>
      <c r="P222" s="2489" t="s">
        <v>2772</v>
      </c>
      <c r="Q222" s="2967"/>
      <c r="AE222" s="115"/>
      <c r="AF222" s="115"/>
    </row>
    <row r="223" spans="1:32" ht="12.75" customHeight="1">
      <c r="A223" s="47" t="s">
        <v>1893</v>
      </c>
      <c r="B223" s="36" t="s">
        <v>4232</v>
      </c>
      <c r="D223" s="42"/>
      <c r="E223" s="42"/>
      <c r="F223" s="42"/>
      <c r="G223" s="42"/>
      <c r="H223" s="42"/>
      <c r="I223" s="42"/>
      <c r="J223" s="42"/>
      <c r="K223" s="42"/>
      <c r="L223" s="42"/>
      <c r="M223" s="42"/>
      <c r="O223" s="439" t="s">
        <v>1893</v>
      </c>
      <c r="P223" s="2489" t="s">
        <v>6927</v>
      </c>
      <c r="Q223" s="2953"/>
    </row>
    <row r="224" spans="1:32" ht="12.75" customHeight="1">
      <c r="A224" s="47"/>
      <c r="B224" s="144" t="s">
        <v>1658</v>
      </c>
      <c r="C224" s="52" t="s">
        <v>1842</v>
      </c>
      <c r="E224" s="52"/>
      <c r="F224" s="52"/>
      <c r="G224" s="52"/>
      <c r="H224" s="52"/>
      <c r="I224" s="42"/>
      <c r="J224" s="65" t="s">
        <v>1427</v>
      </c>
      <c r="K224" s="3956" t="s">
        <v>6948</v>
      </c>
      <c r="L224" s="3958"/>
      <c r="Q224" s="2954"/>
    </row>
    <row r="225" spans="1:32" ht="12.75" customHeight="1">
      <c r="A225" s="47"/>
      <c r="B225" s="144" t="s">
        <v>1659</v>
      </c>
      <c r="C225" s="783" t="s">
        <v>3945</v>
      </c>
      <c r="E225" s="783"/>
      <c r="F225" s="783"/>
      <c r="G225" s="783"/>
      <c r="H225" s="783"/>
      <c r="I225" s="42"/>
      <c r="J225" s="65" t="s">
        <v>1428</v>
      </c>
      <c r="K225" s="4117" t="s">
        <v>6949</v>
      </c>
      <c r="L225" s="4118"/>
      <c r="M225" s="3968" t="s">
        <v>6450</v>
      </c>
      <c r="N225" s="3969"/>
      <c r="O225" s="3969"/>
      <c r="P225" s="3970"/>
      <c r="Q225" s="2954"/>
    </row>
    <row r="226" spans="1:32" ht="12.75" customHeight="1">
      <c r="A226" s="47"/>
      <c r="B226" s="40" t="s">
        <v>1660</v>
      </c>
      <c r="C226" s="783" t="s">
        <v>3946</v>
      </c>
      <c r="D226" s="146"/>
      <c r="E226" s="783"/>
      <c r="F226" s="783"/>
      <c r="G226" s="783"/>
      <c r="H226" s="783"/>
      <c r="I226" s="93"/>
      <c r="J226" s="439" t="s">
        <v>1429</v>
      </c>
      <c r="K226" s="3959" t="s">
        <v>6950</v>
      </c>
      <c r="L226" s="3960"/>
      <c r="M226" s="3960"/>
      <c r="N226" s="3961"/>
      <c r="O226" s="1601"/>
      <c r="P226" s="987"/>
      <c r="Q226" s="2955"/>
      <c r="R226" s="42"/>
    </row>
    <row r="227" spans="1:32" ht="12.75" customHeight="1">
      <c r="A227" s="47" t="s">
        <v>1895</v>
      </c>
      <c r="B227" s="52" t="s">
        <v>4233</v>
      </c>
      <c r="D227" s="52"/>
      <c r="E227" s="52"/>
      <c r="F227" s="52"/>
      <c r="G227" s="52"/>
      <c r="H227" s="52"/>
      <c r="I227" s="52"/>
      <c r="J227" s="52"/>
      <c r="K227" s="42"/>
      <c r="L227" s="42"/>
      <c r="M227" s="42"/>
      <c r="N227" s="42"/>
      <c r="O227" s="439" t="s">
        <v>1895</v>
      </c>
      <c r="P227" s="2489" t="s">
        <v>6927</v>
      </c>
      <c r="Q227" s="2967"/>
    </row>
    <row r="228" spans="1:32" ht="12.75" customHeight="1">
      <c r="A228" s="47"/>
      <c r="B228" s="52" t="s">
        <v>4034</v>
      </c>
      <c r="D228" s="52"/>
      <c r="E228" s="52"/>
      <c r="F228" s="52"/>
      <c r="G228" s="52"/>
      <c r="H228" s="52"/>
      <c r="I228" s="52"/>
      <c r="J228" s="52"/>
      <c r="K228" s="42"/>
      <c r="L228" s="42"/>
      <c r="M228" s="42"/>
      <c r="N228" s="439" t="s">
        <v>3272</v>
      </c>
      <c r="O228" s="1312">
        <f>'Part VI-Revenues &amp; Expenses'!$P$67</f>
        <v>72</v>
      </c>
      <c r="P228" s="4111" t="s">
        <v>4036</v>
      </c>
      <c r="Q228" s="4112"/>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2022</v>
      </c>
      <c r="C230" s="4113" t="s">
        <v>1581</v>
      </c>
      <c r="D230" s="4114"/>
      <c r="E230" s="4114"/>
      <c r="F230" s="4114"/>
      <c r="G230" s="4115"/>
      <c r="H230" s="439" t="s">
        <v>2022</v>
      </c>
      <c r="I230" s="3975" t="s">
        <v>3553</v>
      </c>
      <c r="J230" s="3976"/>
      <c r="K230" s="3976"/>
      <c r="L230" s="3976"/>
      <c r="M230" s="3976"/>
      <c r="N230" s="3976"/>
      <c r="O230" s="4116"/>
      <c r="P230" s="2953"/>
      <c r="Q230" s="2969"/>
      <c r="AE230" s="54"/>
      <c r="AF230" s="54"/>
    </row>
    <row r="231" spans="1:32" s="43" customFormat="1" ht="12.75" customHeight="1">
      <c r="A231" s="51"/>
      <c r="B231" s="439" t="s">
        <v>2023</v>
      </c>
      <c r="C231" s="4094" t="s">
        <v>4031</v>
      </c>
      <c r="D231" s="4095"/>
      <c r="E231" s="4095"/>
      <c r="F231" s="4095"/>
      <c r="G231" s="4096"/>
      <c r="H231" s="439" t="s">
        <v>2023</v>
      </c>
      <c r="I231" s="3398"/>
      <c r="J231" s="3399"/>
      <c r="K231" s="3399"/>
      <c r="L231" s="3399"/>
      <c r="M231" s="3399"/>
      <c r="N231" s="3399"/>
      <c r="O231" s="3401"/>
      <c r="P231" s="2954"/>
      <c r="Q231" s="2970"/>
      <c r="AE231" s="54"/>
      <c r="AF231" s="54"/>
    </row>
    <row r="232" spans="1:32" s="43" customFormat="1" ht="12.75" customHeight="1">
      <c r="A232" s="51"/>
      <c r="B232" s="439" t="s">
        <v>1655</v>
      </c>
      <c r="C232" s="4094" t="s">
        <v>975</v>
      </c>
      <c r="D232" s="4095"/>
      <c r="E232" s="4095"/>
      <c r="F232" s="4095"/>
      <c r="G232" s="4096"/>
      <c r="H232" s="439" t="s">
        <v>1655</v>
      </c>
      <c r="I232" s="3398" t="s">
        <v>3553</v>
      </c>
      <c r="J232" s="3399"/>
      <c r="K232" s="3399"/>
      <c r="L232" s="3399"/>
      <c r="M232" s="3399"/>
      <c r="N232" s="3399"/>
      <c r="O232" s="3401"/>
      <c r="P232" s="2954"/>
      <c r="Q232" s="2970"/>
      <c r="AE232" s="54"/>
      <c r="AF232" s="54"/>
    </row>
    <row r="233" spans="1:32" s="43" customFormat="1" ht="12.75" customHeight="1">
      <c r="A233" s="51"/>
      <c r="B233" s="439" t="s">
        <v>4046</v>
      </c>
      <c r="C233" s="4119" t="s">
        <v>975</v>
      </c>
      <c r="D233" s="4120"/>
      <c r="E233" s="4120"/>
      <c r="F233" s="4120"/>
      <c r="G233" s="4121"/>
      <c r="H233" s="439" t="s">
        <v>4046</v>
      </c>
      <c r="I233" s="3435"/>
      <c r="J233" s="3436"/>
      <c r="K233" s="3436"/>
      <c r="L233" s="3436"/>
      <c r="M233" s="3436"/>
      <c r="N233" s="3436"/>
      <c r="O233" s="3438"/>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6927</v>
      </c>
      <c r="Q234" s="2953"/>
    </row>
    <row r="235" spans="1:32" ht="12.75" customHeight="1">
      <c r="A235" s="47"/>
      <c r="B235" s="144" t="s">
        <v>1658</v>
      </c>
      <c r="C235" s="52" t="s">
        <v>3194</v>
      </c>
      <c r="E235" s="52"/>
      <c r="F235" s="52"/>
      <c r="L235" s="33"/>
      <c r="M235" s="33"/>
      <c r="O235" s="65" t="s">
        <v>1658</v>
      </c>
      <c r="P235" s="2667" t="s">
        <v>2769</v>
      </c>
      <c r="Q235" s="2954"/>
    </row>
    <row r="236" spans="1:32" ht="12.75" customHeight="1">
      <c r="B236" s="144" t="s">
        <v>1659</v>
      </c>
      <c r="C236" s="783" t="s">
        <v>2614</v>
      </c>
      <c r="E236" s="783"/>
      <c r="F236" s="783"/>
      <c r="L236" s="33"/>
      <c r="M236" s="33"/>
      <c r="O236" s="65" t="s">
        <v>1659</v>
      </c>
      <c r="P236" s="2667" t="s">
        <v>2769</v>
      </c>
      <c r="Q236" s="2954"/>
    </row>
    <row r="237" spans="1:32" ht="12.75" customHeight="1">
      <c r="B237" s="144" t="s">
        <v>1660</v>
      </c>
      <c r="C237" s="783" t="s">
        <v>6336</v>
      </c>
      <c r="E237" s="783"/>
      <c r="F237" s="783"/>
      <c r="G237" s="783"/>
      <c r="H237" s="783"/>
      <c r="I237" s="42"/>
      <c r="J237" s="33"/>
      <c r="K237" s="42"/>
      <c r="L237" s="33"/>
      <c r="M237" s="33"/>
      <c r="O237" s="65" t="s">
        <v>1660</v>
      </c>
      <c r="P237" s="2667" t="s">
        <v>2769</v>
      </c>
      <c r="Q237" s="2954"/>
    </row>
    <row r="238" spans="1:32" ht="12.75" customHeight="1">
      <c r="A238" s="47"/>
      <c r="B238" s="144" t="s">
        <v>2260</v>
      </c>
      <c r="C238" s="783" t="s">
        <v>2615</v>
      </c>
      <c r="E238" s="783"/>
      <c r="F238" s="783"/>
      <c r="G238" s="783"/>
      <c r="H238" s="783"/>
      <c r="I238" s="42"/>
      <c r="J238" s="33"/>
      <c r="K238" s="42"/>
      <c r="L238" s="33"/>
      <c r="M238" s="33"/>
      <c r="O238" s="65" t="s">
        <v>2260</v>
      </c>
      <c r="P238" s="2667" t="s">
        <v>2769</v>
      </c>
      <c r="Q238" s="2954"/>
    </row>
    <row r="239" spans="1:32" ht="12.75" customHeight="1">
      <c r="A239" s="47"/>
      <c r="B239" s="144" t="s">
        <v>1487</v>
      </c>
      <c r="C239" s="783" t="s">
        <v>2616</v>
      </c>
      <c r="E239" s="783"/>
      <c r="F239" s="783"/>
      <c r="G239" s="783"/>
      <c r="H239" s="783"/>
      <c r="I239" s="42"/>
      <c r="J239" s="33"/>
      <c r="K239" s="42"/>
      <c r="L239" s="33"/>
      <c r="M239" s="33"/>
      <c r="O239" s="65" t="s">
        <v>1487</v>
      </c>
      <c r="P239" s="2667" t="s">
        <v>2769</v>
      </c>
      <c r="Q239" s="2954"/>
    </row>
    <row r="240" spans="1:32" ht="23.25" customHeight="1">
      <c r="A240" s="47"/>
      <c r="B240" s="451" t="s">
        <v>1488</v>
      </c>
      <c r="C240" s="3971" t="s">
        <v>6451</v>
      </c>
      <c r="D240" s="3971"/>
      <c r="E240" s="3971"/>
      <c r="F240" s="3971"/>
      <c r="G240" s="3971"/>
      <c r="H240" s="3971"/>
      <c r="I240" s="3971"/>
      <c r="J240" s="3971"/>
      <c r="K240" s="3971"/>
      <c r="L240" s="3971"/>
      <c r="M240" s="3971"/>
      <c r="N240" s="3971"/>
      <c r="O240" s="159" t="s">
        <v>1488</v>
      </c>
      <c r="P240" s="2659" t="s">
        <v>2769</v>
      </c>
      <c r="Q240" s="2963"/>
    </row>
    <row r="241" spans="1:32" ht="12" customHeight="1">
      <c r="A241" s="47" t="s">
        <v>2021</v>
      </c>
      <c r="B241" s="52" t="s">
        <v>6312</v>
      </c>
      <c r="C241" s="52"/>
      <c r="E241" s="52"/>
      <c r="F241" s="52"/>
      <c r="G241" s="52"/>
      <c r="H241" s="52"/>
      <c r="I241" s="52"/>
      <c r="J241" s="52"/>
      <c r="K241" s="42"/>
      <c r="M241" s="1292" t="str">
        <f>'Part I-Project Information'!$H$77</f>
        <v>Family</v>
      </c>
      <c r="O241" s="439" t="s">
        <v>2021</v>
      </c>
      <c r="P241" s="2492" t="s">
        <v>931</v>
      </c>
      <c r="Q241" s="2953"/>
    </row>
    <row r="242" spans="1:32" ht="12" customHeight="1">
      <c r="B242" s="144" t="s">
        <v>1658</v>
      </c>
      <c r="C242" s="39" t="s">
        <v>1209</v>
      </c>
      <c r="E242" s="42"/>
      <c r="F242" s="42"/>
      <c r="G242" s="39"/>
      <c r="H242" s="783"/>
      <c r="I242" s="42"/>
      <c r="J242" s="783"/>
      <c r="K242" s="42"/>
      <c r="L242" s="783"/>
      <c r="M242" s="783"/>
      <c r="O242" s="65" t="s">
        <v>1658</v>
      </c>
      <c r="P242" s="2667"/>
      <c r="Q242" s="2954"/>
    </row>
    <row r="243" spans="1:32" ht="12" customHeight="1">
      <c r="B243" s="144" t="s">
        <v>1659</v>
      </c>
      <c r="C243" s="36" t="s">
        <v>3960</v>
      </c>
      <c r="E243" s="42"/>
      <c r="F243" s="42"/>
      <c r="G243" s="783"/>
      <c r="H243" s="783"/>
      <c r="I243" s="42"/>
      <c r="J243" s="783"/>
      <c r="K243" s="42"/>
      <c r="L243" s="783"/>
      <c r="M243" s="783"/>
      <c r="O243" s="65" t="s">
        <v>1659</v>
      </c>
      <c r="P243" s="2672"/>
      <c r="Q243" s="2955"/>
    </row>
    <row r="244" spans="1:32" ht="11.25" customHeight="1">
      <c r="B244" s="139" t="s">
        <v>3371</v>
      </c>
      <c r="D244" s="139"/>
      <c r="E244" s="139"/>
      <c r="F244" s="139"/>
      <c r="G244" s="139"/>
      <c r="H244" s="40"/>
      <c r="I244" s="2673"/>
      <c r="J244" s="2673"/>
      <c r="K244" s="2673"/>
      <c r="L244" s="1401"/>
      <c r="M244" s="1401"/>
      <c r="N244" s="1401"/>
      <c r="O244" s="1401"/>
      <c r="P244" s="1401"/>
      <c r="Q244" s="782"/>
    </row>
    <row r="245" spans="1:32" ht="12" customHeight="1">
      <c r="A245" s="3965" t="s">
        <v>7012</v>
      </c>
      <c r="B245" s="3966"/>
      <c r="C245" s="3966"/>
      <c r="D245" s="3966"/>
      <c r="E245" s="3966"/>
      <c r="F245" s="3966"/>
      <c r="G245" s="3966"/>
      <c r="H245" s="3966"/>
      <c r="I245" s="3966"/>
      <c r="J245" s="3966"/>
      <c r="K245" s="3966"/>
      <c r="L245" s="3966"/>
      <c r="M245" s="3966"/>
      <c r="N245" s="3966"/>
      <c r="O245" s="3966"/>
      <c r="P245" s="3966"/>
      <c r="Q245" s="3967"/>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6"/>
      <c r="E246" s="2656"/>
      <c r="F246" s="2656"/>
      <c r="G246" s="2656"/>
      <c r="H246" s="2656"/>
      <c r="I246" s="2656"/>
      <c r="J246" s="2656"/>
      <c r="K246" s="2656"/>
      <c r="L246" s="2656"/>
      <c r="M246" s="2656"/>
      <c r="N246" s="2656"/>
      <c r="O246" s="2656"/>
      <c r="P246" s="2656"/>
      <c r="Q246" s="2656"/>
    </row>
    <row r="247" spans="1:32" ht="12" customHeight="1">
      <c r="A247" s="3972"/>
      <c r="B247" s="3973"/>
      <c r="C247" s="3973"/>
      <c r="D247" s="3973"/>
      <c r="E247" s="3973"/>
      <c r="F247" s="3973"/>
      <c r="G247" s="3973"/>
      <c r="H247" s="3973"/>
      <c r="I247" s="3973"/>
      <c r="J247" s="3973"/>
      <c r="K247" s="3973"/>
      <c r="L247" s="3973"/>
      <c r="M247" s="3973"/>
      <c r="N247" s="3973"/>
      <c r="O247" s="3973"/>
      <c r="P247" s="3973"/>
      <c r="Q247" s="3974"/>
    </row>
    <row r="248" spans="1:32" ht="14.1" customHeight="1">
      <c r="A248" s="2651" t="s">
        <v>2605</v>
      </c>
      <c r="B248" s="2651" t="s">
        <v>6337</v>
      </c>
      <c r="C248" s="40"/>
      <c r="D248" s="2656"/>
      <c r="E248" s="2656"/>
      <c r="F248" s="2656"/>
      <c r="G248" s="2656"/>
      <c r="H248" s="2656"/>
      <c r="I248" s="2656"/>
      <c r="J248" s="2656"/>
      <c r="K248" s="1409" t="s">
        <v>431</v>
      </c>
      <c r="L248" s="1409" t="str">
        <f>'Part I-Project Information'!$N$40</f>
        <v>No</v>
      </c>
      <c r="M248" s="2656"/>
      <c r="O248" s="130" t="s">
        <v>1781</v>
      </c>
      <c r="P248" s="3963"/>
      <c r="Q248" s="3964"/>
    </row>
    <row r="249" spans="1:32" ht="11.25" customHeight="1">
      <c r="A249" s="140" t="s">
        <v>1893</v>
      </c>
      <c r="B249" s="138" t="s">
        <v>6340</v>
      </c>
    </row>
    <row r="250" spans="1:32" ht="10.5" customHeight="1">
      <c r="A250" s="140"/>
      <c r="B250" s="52" t="s">
        <v>6342</v>
      </c>
      <c r="C250" s="42"/>
      <c r="D250" s="42"/>
      <c r="E250" s="42"/>
      <c r="F250" s="42"/>
      <c r="G250" s="42"/>
      <c r="H250" s="42"/>
      <c r="I250" s="42"/>
      <c r="J250" s="2640" t="s">
        <v>6341</v>
      </c>
      <c r="K250" s="52" t="s">
        <v>6342</v>
      </c>
      <c r="L250" s="42"/>
      <c r="M250" s="42"/>
      <c r="N250" s="42"/>
      <c r="O250" s="42"/>
      <c r="P250" s="42"/>
      <c r="Q250" s="2640" t="s">
        <v>6341</v>
      </c>
    </row>
    <row r="251" spans="1:32" s="131" customFormat="1" ht="12" customHeight="1">
      <c r="B251" s="3975"/>
      <c r="C251" s="3976"/>
      <c r="D251" s="3976"/>
      <c r="E251" s="3976"/>
      <c r="F251" s="3976"/>
      <c r="G251" s="3976"/>
      <c r="H251" s="3976"/>
      <c r="I251" s="3976"/>
      <c r="J251" s="2503"/>
      <c r="K251" s="3975"/>
      <c r="L251" s="3976"/>
      <c r="M251" s="3976"/>
      <c r="N251" s="3976"/>
      <c r="O251" s="3976"/>
      <c r="P251" s="3976"/>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1895</v>
      </c>
      <c r="B259" s="1602" t="s">
        <v>6343</v>
      </c>
      <c r="C259" s="1603"/>
      <c r="D259" s="1604"/>
      <c r="E259" s="1604"/>
      <c r="F259" s="1604"/>
      <c r="G259" s="1604"/>
      <c r="H259" s="1604"/>
      <c r="I259" s="1605"/>
      <c r="J259" s="1605"/>
      <c r="K259" s="1604"/>
      <c r="L259" s="1606"/>
      <c r="M259" s="1603"/>
      <c r="N259" s="1603"/>
      <c r="O259" s="159" t="s">
        <v>1895</v>
      </c>
      <c r="P259" s="2669"/>
      <c r="Q259" s="2959"/>
    </row>
    <row r="260" spans="1:32" s="403" customFormat="1" ht="23.25" customHeight="1">
      <c r="A260" s="140" t="s">
        <v>719</v>
      </c>
      <c r="B260" s="3951" t="s">
        <v>6339</v>
      </c>
      <c r="C260" s="3951"/>
      <c r="D260" s="3951"/>
      <c r="E260" s="3951"/>
      <c r="F260" s="3951"/>
      <c r="G260" s="3951"/>
      <c r="H260" s="3951"/>
      <c r="I260" s="3951"/>
      <c r="J260" s="3951"/>
      <c r="K260" s="3951"/>
      <c r="L260" s="3951"/>
      <c r="M260" s="3951"/>
      <c r="N260" s="3951"/>
      <c r="O260" s="159" t="s">
        <v>719</v>
      </c>
      <c r="P260" s="2658"/>
      <c r="Q260" s="2961"/>
      <c r="AE260" s="444"/>
      <c r="AF260" s="444"/>
    </row>
    <row r="261" spans="1:32" s="403" customFormat="1" ht="12" customHeight="1">
      <c r="A261" s="47" t="s">
        <v>2021</v>
      </c>
      <c r="B261" s="138" t="s">
        <v>6338</v>
      </c>
      <c r="D261" s="138"/>
      <c r="E261" s="138"/>
      <c r="F261" s="138"/>
      <c r="G261" s="138"/>
      <c r="H261" s="138"/>
      <c r="I261" s="138"/>
      <c r="J261" s="138"/>
      <c r="K261" s="138"/>
      <c r="L261" s="138"/>
      <c r="M261" s="138"/>
      <c r="O261" s="439" t="s">
        <v>2021</v>
      </c>
      <c r="P261" s="2659"/>
      <c r="Q261" s="2963"/>
      <c r="AE261" s="444"/>
      <c r="AF261" s="444"/>
    </row>
    <row r="262" spans="1:32" ht="11.25" customHeight="1">
      <c r="B262" s="139" t="s">
        <v>3371</v>
      </c>
      <c r="D262" s="139"/>
      <c r="E262" s="139"/>
      <c r="F262" s="139"/>
      <c r="G262" s="139"/>
      <c r="H262" s="40"/>
      <c r="I262" s="2673"/>
      <c r="J262" s="2673"/>
      <c r="K262" s="2673"/>
      <c r="L262" s="1401"/>
      <c r="M262" s="1401"/>
      <c r="N262" s="1401"/>
      <c r="O262" s="1401"/>
      <c r="P262" s="1401"/>
      <c r="Q262" s="782"/>
    </row>
    <row r="263" spans="1:32" ht="12" customHeight="1">
      <c r="A263" s="3965" t="s">
        <v>6951</v>
      </c>
      <c r="B263" s="3966"/>
      <c r="C263" s="3966"/>
      <c r="D263" s="3966"/>
      <c r="E263" s="3966"/>
      <c r="F263" s="3966"/>
      <c r="G263" s="3966"/>
      <c r="H263" s="3966"/>
      <c r="I263" s="3966"/>
      <c r="J263" s="3966"/>
      <c r="K263" s="3966"/>
      <c r="L263" s="3966"/>
      <c r="M263" s="3966"/>
      <c r="N263" s="3966"/>
      <c r="O263" s="3966"/>
      <c r="P263" s="3966"/>
      <c r="Q263" s="3967"/>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6"/>
      <c r="E264" s="2656"/>
      <c r="F264" s="2656"/>
      <c r="G264" s="2656"/>
      <c r="H264" s="2656"/>
      <c r="I264" s="2656"/>
      <c r="J264" s="2656"/>
      <c r="K264" s="2656"/>
      <c r="L264" s="2656"/>
      <c r="M264" s="2656"/>
      <c r="N264" s="2656"/>
      <c r="O264" s="2656"/>
      <c r="P264" s="2656"/>
      <c r="Q264" s="2656"/>
    </row>
    <row r="265" spans="1:32" ht="12" customHeight="1">
      <c r="A265" s="3972"/>
      <c r="B265" s="3973"/>
      <c r="C265" s="3973"/>
      <c r="D265" s="3973"/>
      <c r="E265" s="3973"/>
      <c r="F265" s="3973"/>
      <c r="G265" s="3973"/>
      <c r="H265" s="3973"/>
      <c r="I265" s="3973"/>
      <c r="J265" s="3973"/>
      <c r="K265" s="3973"/>
      <c r="L265" s="3973"/>
      <c r="M265" s="3973"/>
      <c r="N265" s="3973"/>
      <c r="O265" s="3973"/>
      <c r="P265" s="3973"/>
      <c r="Q265" s="3974"/>
    </row>
    <row r="266" spans="1:32" ht="3" customHeight="1">
      <c r="A266" s="1401"/>
      <c r="B266" s="2673"/>
      <c r="C266" s="2656"/>
      <c r="D266" s="2656"/>
      <c r="E266" s="2656"/>
      <c r="F266" s="2656"/>
      <c r="G266" s="2656"/>
      <c r="H266" s="2656"/>
      <c r="I266" s="2656"/>
      <c r="J266" s="2656"/>
      <c r="K266" s="2656"/>
      <c r="L266" s="2656"/>
      <c r="M266" s="2656"/>
      <c r="Q266" s="1401"/>
    </row>
    <row r="267" spans="1:32" ht="14.1" customHeight="1">
      <c r="A267" s="2651" t="s">
        <v>2149</v>
      </c>
      <c r="B267" s="4" t="s">
        <v>4152</v>
      </c>
      <c r="C267" s="4"/>
      <c r="D267" s="86"/>
      <c r="E267" s="86"/>
      <c r="F267" s="86"/>
      <c r="G267" s="86"/>
      <c r="H267" s="2656"/>
      <c r="I267" s="2656"/>
      <c r="J267" s="2656"/>
      <c r="K267" s="2656"/>
      <c r="L267" s="1343"/>
      <c r="M267" s="1344"/>
      <c r="O267" s="130" t="s">
        <v>1781</v>
      </c>
      <c r="P267" s="3963"/>
      <c r="Q267" s="3964"/>
    </row>
    <row r="268" spans="1:32" s="27" customFormat="1" ht="12" customHeight="1">
      <c r="B268" s="55" t="s">
        <v>6452</v>
      </c>
      <c r="N268" s="119"/>
      <c r="P268" s="2489"/>
      <c r="Q268" s="2967"/>
      <c r="AE268" s="115"/>
      <c r="AF268" s="115"/>
    </row>
    <row r="269" spans="1:32" ht="11.45" customHeight="1">
      <c r="A269" s="47" t="s">
        <v>1893</v>
      </c>
      <c r="B269" s="52" t="s">
        <v>1220</v>
      </c>
      <c r="D269" s="42"/>
      <c r="E269" s="52"/>
      <c r="F269" s="52"/>
      <c r="J269" s="439" t="s">
        <v>1893</v>
      </c>
      <c r="K269" s="3997"/>
      <c r="L269" s="3998"/>
      <c r="M269" s="3998"/>
      <c r="N269" s="3998"/>
      <c r="O269" s="3999"/>
      <c r="P269" s="3995" t="s">
        <v>1691</v>
      </c>
      <c r="Q269" s="3996"/>
    </row>
    <row r="270" spans="1:32" s="27" customFormat="1" ht="34.5" customHeight="1">
      <c r="B270" s="4086" t="s">
        <v>6453</v>
      </c>
      <c r="C270" s="4086"/>
      <c r="D270" s="4086"/>
      <c r="E270" s="4086"/>
      <c r="F270" s="4086"/>
      <c r="G270" s="4086"/>
      <c r="H270" s="4086"/>
      <c r="I270" s="4086"/>
      <c r="J270" s="4086"/>
      <c r="K270" s="4086"/>
      <c r="L270" s="4086"/>
      <c r="M270" s="4086"/>
      <c r="N270" s="4086"/>
      <c r="O270" s="4002"/>
      <c r="P270" s="2506"/>
      <c r="Q270" s="2972"/>
      <c r="AE270" s="115"/>
      <c r="AF270" s="115"/>
    </row>
    <row r="271" spans="1:32" ht="12" customHeight="1">
      <c r="A271" s="47" t="s">
        <v>1895</v>
      </c>
      <c r="B271" s="52" t="s">
        <v>2617</v>
      </c>
      <c r="D271" s="52"/>
      <c r="E271" s="52"/>
      <c r="F271" s="52"/>
      <c r="J271" s="439" t="s">
        <v>1895</v>
      </c>
      <c r="K271" s="4024"/>
      <c r="L271" s="4025"/>
      <c r="M271" s="4025"/>
      <c r="N271" s="4025"/>
      <c r="O271" s="4026"/>
      <c r="P271" s="4020"/>
      <c r="Q271" s="4021"/>
    </row>
    <row r="272" spans="1:32" s="146" customFormat="1" ht="12" customHeight="1">
      <c r="A272" s="47"/>
      <c r="B272" s="2656" t="s">
        <v>1658</v>
      </c>
      <c r="C272" s="52" t="s">
        <v>1856</v>
      </c>
      <c r="D272" s="52"/>
      <c r="E272" s="52"/>
      <c r="F272" s="52"/>
      <c r="J272" s="65" t="s">
        <v>1658</v>
      </c>
      <c r="K272" s="3959"/>
      <c r="L272" s="3960"/>
      <c r="M272" s="3960"/>
      <c r="N272" s="3960"/>
      <c r="O272" s="3961"/>
      <c r="P272" s="4022"/>
      <c r="Q272" s="4023"/>
      <c r="AE272" s="443"/>
      <c r="AF272" s="443"/>
    </row>
    <row r="273" spans="1:32" s="146" customFormat="1" ht="12" customHeight="1">
      <c r="A273" s="47"/>
      <c r="B273" s="2656" t="s">
        <v>1659</v>
      </c>
      <c r="C273" s="52" t="s">
        <v>6454</v>
      </c>
      <c r="D273" s="52"/>
      <c r="E273" s="52"/>
      <c r="F273" s="52"/>
      <c r="G273" s="52"/>
      <c r="H273" s="52"/>
      <c r="I273" s="93"/>
      <c r="J273" s="93"/>
      <c r="M273" s="36"/>
      <c r="N273" s="896"/>
      <c r="O273" s="65" t="s">
        <v>1659</v>
      </c>
      <c r="P273" s="2500"/>
      <c r="Q273" s="2965"/>
      <c r="AE273" s="443"/>
      <c r="AF273" s="443"/>
    </row>
    <row r="274" spans="1:32" s="146" customFormat="1" ht="34.5" customHeight="1">
      <c r="A274" s="47"/>
      <c r="B274" s="2656" t="s">
        <v>1660</v>
      </c>
      <c r="C274" s="3951" t="s">
        <v>6464</v>
      </c>
      <c r="D274" s="3951"/>
      <c r="E274" s="3951"/>
      <c r="F274" s="3951"/>
      <c r="G274" s="3951"/>
      <c r="H274" s="3951"/>
      <c r="I274" s="3951"/>
      <c r="J274" s="3951"/>
      <c r="K274" s="3951"/>
      <c r="L274" s="3951"/>
      <c r="M274" s="3951"/>
      <c r="N274" s="3951"/>
      <c r="O274" s="147" t="s">
        <v>1660</v>
      </c>
      <c r="P274" s="2665"/>
      <c r="Q274" s="2973"/>
      <c r="AE274" s="443"/>
      <c r="AF274" s="443"/>
    </row>
    <row r="275" spans="1:32" s="146" customFormat="1" ht="24" customHeight="1">
      <c r="A275" s="47"/>
      <c r="B275" s="2656" t="s">
        <v>2260</v>
      </c>
      <c r="C275" s="3951" t="s">
        <v>6465</v>
      </c>
      <c r="D275" s="3951"/>
      <c r="E275" s="3951"/>
      <c r="F275" s="3951"/>
      <c r="G275" s="3951"/>
      <c r="H275" s="3951"/>
      <c r="I275" s="3951"/>
      <c r="J275" s="3951"/>
      <c r="K275" s="3951"/>
      <c r="L275" s="3951"/>
      <c r="M275" s="3951"/>
      <c r="N275" s="3951"/>
      <c r="O275" s="159" t="s">
        <v>2260</v>
      </c>
      <c r="P275" s="2659"/>
      <c r="Q275" s="2963"/>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3"/>
      <c r="AE276" s="443"/>
      <c r="AF276" s="443"/>
    </row>
    <row r="277" spans="1:32" s="146" customFormat="1" ht="12" customHeight="1">
      <c r="A277" s="47"/>
      <c r="B277" s="3951" t="s">
        <v>3376</v>
      </c>
      <c r="C277" s="3951"/>
      <c r="D277" s="3951"/>
      <c r="E277" s="3951"/>
      <c r="F277" s="3951"/>
      <c r="G277" s="3951"/>
      <c r="H277" s="418" t="s">
        <v>3532</v>
      </c>
      <c r="K277" s="93"/>
      <c r="M277" s="36"/>
      <c r="N277" s="896"/>
      <c r="O277" s="65" t="s">
        <v>1658</v>
      </c>
      <c r="P277" s="2667"/>
      <c r="Q277" s="2954"/>
      <c r="AE277" s="443"/>
      <c r="AF277" s="443"/>
    </row>
    <row r="278" spans="1:32" s="146" customFormat="1" ht="12" customHeight="1">
      <c r="A278" s="47"/>
      <c r="B278" s="3951"/>
      <c r="C278" s="3951"/>
      <c r="D278" s="3951"/>
      <c r="E278" s="3951"/>
      <c r="F278" s="3951"/>
      <c r="G278" s="3951"/>
      <c r="H278" s="55" t="s">
        <v>3533</v>
      </c>
      <c r="K278" s="93"/>
      <c r="M278" s="36"/>
      <c r="N278" s="896"/>
      <c r="O278" s="65" t="s">
        <v>1659</v>
      </c>
      <c r="P278" s="2667"/>
      <c r="Q278" s="2954"/>
      <c r="AE278" s="443"/>
      <c r="AF278" s="443"/>
    </row>
    <row r="279" spans="1:32" s="146" customFormat="1" ht="12" customHeight="1">
      <c r="A279" s="47"/>
      <c r="B279" s="52"/>
      <c r="D279" s="52"/>
      <c r="E279" s="52"/>
      <c r="F279" s="52"/>
      <c r="G279" s="52"/>
      <c r="H279" s="55" t="s">
        <v>3534</v>
      </c>
      <c r="K279" s="93"/>
      <c r="M279" s="36"/>
      <c r="N279" s="896"/>
      <c r="O279" s="65" t="s">
        <v>1660</v>
      </c>
      <c r="P279" s="2667"/>
      <c r="Q279" s="2954"/>
      <c r="AE279" s="443"/>
      <c r="AF279" s="443"/>
    </row>
    <row r="280" spans="1:32" s="146" customFormat="1" ht="12" customHeight="1">
      <c r="A280" s="47"/>
      <c r="B280" s="52"/>
      <c r="D280" s="52"/>
      <c r="E280" s="52"/>
      <c r="F280" s="52"/>
      <c r="G280" s="52"/>
      <c r="H280" s="55" t="s">
        <v>3535</v>
      </c>
      <c r="K280" s="93"/>
      <c r="M280" s="36"/>
      <c r="N280" s="896"/>
      <c r="O280" s="439" t="s">
        <v>2260</v>
      </c>
      <c r="P280" s="2667"/>
      <c r="Q280" s="2954"/>
      <c r="AE280" s="443"/>
      <c r="AF280" s="443"/>
    </row>
    <row r="281" spans="1:32" s="146" customFormat="1" ht="23.25" customHeight="1">
      <c r="B281" s="784" t="s">
        <v>6825</v>
      </c>
      <c r="C281" s="3951" t="s">
        <v>6824</v>
      </c>
      <c r="D281" s="3951"/>
      <c r="E281" s="3951"/>
      <c r="F281" s="3951"/>
      <c r="G281" s="3951"/>
      <c r="H281" s="3951"/>
      <c r="I281" s="3951"/>
      <c r="J281" s="3951"/>
      <c r="K281" s="3951"/>
      <c r="L281" s="3951"/>
      <c r="M281" s="3951"/>
      <c r="N281" s="3951"/>
      <c r="O281" s="159" t="s">
        <v>1487</v>
      </c>
      <c r="P281" s="2659"/>
      <c r="Q281" s="2963"/>
      <c r="T281" s="443"/>
      <c r="AE281" s="443"/>
      <c r="AF281" s="443"/>
    </row>
    <row r="282" spans="1:32" ht="12" customHeight="1">
      <c r="B282" s="139" t="s">
        <v>3371</v>
      </c>
      <c r="D282" s="139"/>
      <c r="E282" s="139"/>
      <c r="F282" s="139"/>
      <c r="G282" s="139"/>
      <c r="H282" s="40"/>
      <c r="I282" s="2673"/>
      <c r="J282" s="2673"/>
      <c r="K282" s="2673"/>
      <c r="L282" s="1401"/>
      <c r="M282" s="1401"/>
      <c r="N282" s="1401"/>
      <c r="O282" s="1401"/>
      <c r="P282" s="1401"/>
      <c r="Q282" s="782"/>
    </row>
    <row r="283" spans="1:32" ht="12" customHeight="1">
      <c r="A283" s="3965" t="s">
        <v>6952</v>
      </c>
      <c r="B283" s="3966"/>
      <c r="C283" s="3966"/>
      <c r="D283" s="3966"/>
      <c r="E283" s="3966"/>
      <c r="F283" s="3966"/>
      <c r="G283" s="3966"/>
      <c r="H283" s="3966"/>
      <c r="I283" s="3966"/>
      <c r="J283" s="3966"/>
      <c r="K283" s="3966"/>
      <c r="L283" s="3966"/>
      <c r="M283" s="3966"/>
      <c r="N283" s="3966"/>
      <c r="O283" s="3966"/>
      <c r="P283" s="3966"/>
      <c r="Q283" s="3967"/>
      <c r="R283" s="427" t="s">
        <v>1208</v>
      </c>
      <c r="S283" s="428"/>
      <c r="U283" s="134"/>
      <c r="V283" s="134"/>
      <c r="W283" s="134"/>
      <c r="X283" s="134"/>
      <c r="Y283" s="134"/>
      <c r="Z283" s="134"/>
      <c r="AA283" s="134"/>
      <c r="AB283" s="134"/>
      <c r="AC283" s="134"/>
      <c r="AD283" s="134"/>
      <c r="AE283" s="441"/>
    </row>
    <row r="284" spans="1:32" ht="12" customHeight="1">
      <c r="B284" s="135" t="s">
        <v>1780</v>
      </c>
      <c r="C284" s="136"/>
      <c r="D284" s="2656"/>
      <c r="E284" s="2656"/>
      <c r="F284" s="2656"/>
      <c r="G284" s="2656"/>
      <c r="H284" s="2656"/>
      <c r="I284" s="2656"/>
      <c r="J284" s="2656"/>
      <c r="K284" s="2656"/>
      <c r="L284" s="2656"/>
      <c r="M284" s="2656"/>
      <c r="N284" s="2656"/>
      <c r="O284" s="2656"/>
      <c r="P284" s="2656"/>
      <c r="Q284" s="2656"/>
    </row>
    <row r="285" spans="1:32" ht="12" customHeight="1">
      <c r="A285" s="3972"/>
      <c r="B285" s="3973"/>
      <c r="C285" s="3973"/>
      <c r="D285" s="3973"/>
      <c r="E285" s="3973"/>
      <c r="F285" s="3973"/>
      <c r="G285" s="3973"/>
      <c r="H285" s="3973"/>
      <c r="I285" s="3973"/>
      <c r="J285" s="3973"/>
      <c r="K285" s="3973"/>
      <c r="L285" s="3973"/>
      <c r="M285" s="3973"/>
      <c r="N285" s="3973"/>
      <c r="O285" s="3973"/>
      <c r="P285" s="3973"/>
      <c r="Q285" s="3974"/>
    </row>
    <row r="286" spans="1:32" ht="3" customHeight="1">
      <c r="A286" s="1401"/>
      <c r="B286" s="2673"/>
      <c r="C286" s="2656"/>
      <c r="D286" s="2656"/>
      <c r="E286" s="2656"/>
      <c r="F286" s="2656"/>
      <c r="G286" s="2656"/>
      <c r="H286" s="2656"/>
      <c r="I286" s="2656"/>
      <c r="J286" s="2656"/>
      <c r="K286" s="2656"/>
      <c r="L286" s="2656"/>
      <c r="M286" s="2656"/>
      <c r="Q286" s="1401"/>
    </row>
    <row r="287" spans="1:32" ht="14.1" customHeight="1">
      <c r="A287" s="2651" t="s">
        <v>3520</v>
      </c>
      <c r="B287" s="4" t="s">
        <v>2520</v>
      </c>
      <c r="C287" s="4"/>
      <c r="D287" s="86"/>
      <c r="E287" s="86"/>
      <c r="F287" s="86"/>
      <c r="G287" s="86"/>
      <c r="H287" s="2656"/>
      <c r="I287" s="2656"/>
      <c r="J287" s="2656"/>
      <c r="K287" s="2656"/>
      <c r="L287" s="2656"/>
      <c r="M287" s="2656"/>
      <c r="O287" s="130" t="s">
        <v>1781</v>
      </c>
      <c r="P287" s="3963"/>
      <c r="Q287" s="3964"/>
    </row>
    <row r="288" spans="1:32" s="403" customFormat="1" ht="21.75" customHeight="1">
      <c r="A288" s="140" t="s">
        <v>1893</v>
      </c>
      <c r="B288" s="2656" t="s">
        <v>1658</v>
      </c>
      <c r="C288" s="3951" t="s">
        <v>4234</v>
      </c>
      <c r="D288" s="3951"/>
      <c r="E288" s="3951"/>
      <c r="F288" s="3951"/>
      <c r="G288" s="3951"/>
      <c r="H288" s="3951"/>
      <c r="I288" s="3951"/>
      <c r="J288" s="3951"/>
      <c r="K288" s="3951"/>
      <c r="L288" s="3951"/>
      <c r="M288" s="3951"/>
      <c r="N288" s="3951"/>
      <c r="O288" s="1490" t="s">
        <v>1427</v>
      </c>
      <c r="P288" s="2502" t="s">
        <v>2769</v>
      </c>
      <c r="Q288" s="2968"/>
      <c r="AE288" s="444"/>
      <c r="AF288" s="444"/>
    </row>
    <row r="289" spans="1:32" s="146" customFormat="1" ht="11.45" customHeight="1">
      <c r="A289" s="47"/>
      <c r="B289" s="2656" t="s">
        <v>1659</v>
      </c>
      <c r="C289" s="52" t="s">
        <v>3373</v>
      </c>
      <c r="D289" s="52"/>
      <c r="E289" s="52"/>
      <c r="F289" s="52"/>
      <c r="G289" s="52"/>
      <c r="H289" s="52"/>
      <c r="I289" s="52"/>
      <c r="J289" s="52"/>
      <c r="K289" s="52"/>
      <c r="L289" s="52"/>
      <c r="M289" s="52"/>
      <c r="O289" s="1490" t="s">
        <v>1659</v>
      </c>
      <c r="P289" s="2672" t="s">
        <v>2769</v>
      </c>
      <c r="Q289" s="2955"/>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72" t="s">
        <v>2769</v>
      </c>
      <c r="Q290" s="2955"/>
      <c r="AE290" s="443"/>
      <c r="AF290" s="443"/>
    </row>
    <row r="291" spans="1:32" s="403" customFormat="1" ht="23.25" customHeight="1">
      <c r="A291" s="140" t="s">
        <v>719</v>
      </c>
      <c r="B291" s="2656" t="s">
        <v>1658</v>
      </c>
      <c r="C291" s="3951" t="s">
        <v>4261</v>
      </c>
      <c r="D291" s="3951"/>
      <c r="E291" s="3951"/>
      <c r="F291" s="3951"/>
      <c r="G291" s="3951"/>
      <c r="H291" s="3951"/>
      <c r="I291" s="3951"/>
      <c r="J291" s="3951"/>
      <c r="K291" s="3951"/>
      <c r="L291" s="3951"/>
      <c r="M291" s="3951"/>
      <c r="N291" s="3951"/>
      <c r="O291" s="1490" t="s">
        <v>4262</v>
      </c>
      <c r="P291" s="2502" t="s">
        <v>2769</v>
      </c>
      <c r="Q291" s="2968"/>
      <c r="AE291" s="444"/>
      <c r="AF291" s="444"/>
    </row>
    <row r="292" spans="1:32" s="146" customFormat="1" ht="11.45" customHeight="1">
      <c r="A292" s="47"/>
      <c r="B292" s="2656" t="s">
        <v>1659</v>
      </c>
      <c r="C292" s="52" t="s">
        <v>3375</v>
      </c>
      <c r="D292" s="52"/>
      <c r="E292" s="52"/>
      <c r="F292" s="52"/>
      <c r="G292" s="52"/>
      <c r="H292" s="52"/>
      <c r="I292" s="52"/>
      <c r="J292" s="52"/>
      <c r="K292" s="52"/>
      <c r="L292" s="52"/>
      <c r="M292" s="52"/>
      <c r="O292" s="1490" t="s">
        <v>1659</v>
      </c>
      <c r="P292" s="2672" t="s">
        <v>2769</v>
      </c>
      <c r="Q292" s="2955"/>
      <c r="AE292" s="443"/>
      <c r="AF292" s="443"/>
    </row>
    <row r="293" spans="1:32" s="146" customFormat="1" ht="22.5" customHeight="1">
      <c r="A293" s="140" t="s">
        <v>2021</v>
      </c>
      <c r="B293" s="3951" t="s">
        <v>6344</v>
      </c>
      <c r="C293" s="3951"/>
      <c r="D293" s="3951"/>
      <c r="E293" s="3951"/>
      <c r="F293" s="3951"/>
      <c r="G293" s="3951"/>
      <c r="H293" s="3951"/>
      <c r="I293" s="3951"/>
      <c r="J293" s="3951"/>
      <c r="K293" s="3951"/>
      <c r="L293" s="3951"/>
      <c r="M293" s="3951"/>
      <c r="N293" s="3951"/>
      <c r="O293" s="159" t="s">
        <v>2021</v>
      </c>
      <c r="P293" s="2659" t="s">
        <v>2769</v>
      </c>
      <c r="Q293" s="2963"/>
      <c r="AE293" s="443"/>
      <c r="AF293" s="443"/>
    </row>
    <row r="294" spans="1:32" ht="11.25" customHeight="1">
      <c r="B294" s="139" t="s">
        <v>3371</v>
      </c>
      <c r="D294" s="139"/>
      <c r="E294" s="139"/>
      <c r="F294" s="139"/>
      <c r="G294" s="139"/>
      <c r="H294" s="40"/>
      <c r="I294" s="2673"/>
      <c r="J294" s="2673"/>
      <c r="K294" s="2673"/>
      <c r="L294" s="1401"/>
      <c r="M294" s="1401"/>
      <c r="N294" s="1401"/>
      <c r="O294" s="1401"/>
      <c r="P294" s="1401"/>
      <c r="Q294" s="782"/>
    </row>
    <row r="295" spans="1:32" ht="13.35" customHeight="1">
      <c r="A295" s="3965" t="s">
        <v>6953</v>
      </c>
      <c r="B295" s="3966"/>
      <c r="C295" s="3966"/>
      <c r="D295" s="3966"/>
      <c r="E295" s="3966"/>
      <c r="F295" s="3966"/>
      <c r="G295" s="3966"/>
      <c r="H295" s="3966"/>
      <c r="I295" s="3966"/>
      <c r="J295" s="3966"/>
      <c r="K295" s="3966"/>
      <c r="L295" s="3966"/>
      <c r="M295" s="3966"/>
      <c r="N295" s="3966"/>
      <c r="O295" s="3966"/>
      <c r="P295" s="3966"/>
      <c r="Q295" s="3967"/>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6"/>
      <c r="E296" s="2656"/>
      <c r="F296" s="2656"/>
      <c r="G296" s="2656"/>
      <c r="H296" s="2656"/>
      <c r="I296" s="2656"/>
      <c r="J296" s="2656"/>
      <c r="K296" s="2656"/>
      <c r="L296" s="2656"/>
      <c r="M296" s="2656"/>
      <c r="N296" s="2656"/>
      <c r="O296" s="2656"/>
      <c r="P296" s="2656"/>
      <c r="Q296" s="2656"/>
    </row>
    <row r="297" spans="1:32" ht="13.35" customHeight="1">
      <c r="A297" s="3972"/>
      <c r="B297" s="3973"/>
      <c r="C297" s="3973"/>
      <c r="D297" s="3973"/>
      <c r="E297" s="3973"/>
      <c r="F297" s="3973"/>
      <c r="G297" s="3973"/>
      <c r="H297" s="3973"/>
      <c r="I297" s="3973"/>
      <c r="J297" s="3973"/>
      <c r="K297" s="3973"/>
      <c r="L297" s="3973"/>
      <c r="M297" s="3973"/>
      <c r="N297" s="3973"/>
      <c r="O297" s="3973"/>
      <c r="P297" s="3973"/>
      <c r="Q297" s="3974"/>
    </row>
    <row r="298" spans="1:32" ht="3" customHeight="1"/>
    <row r="299" spans="1:32" ht="14.1" customHeight="1">
      <c r="A299" s="2651" t="s">
        <v>3521</v>
      </c>
      <c r="B299" s="2651" t="s">
        <v>2521</v>
      </c>
      <c r="C299" s="2651"/>
      <c r="D299" s="2656"/>
      <c r="E299" s="2656"/>
      <c r="F299" s="2656"/>
      <c r="G299" s="2656"/>
      <c r="H299" s="2656"/>
      <c r="I299" s="2656"/>
      <c r="J299" s="2656"/>
      <c r="K299" s="2656"/>
      <c r="L299" s="2656"/>
      <c r="M299" s="2656"/>
      <c r="O299" s="130" t="s">
        <v>1781</v>
      </c>
      <c r="P299" s="3963"/>
      <c r="Q299" s="3964"/>
    </row>
    <row r="300" spans="1:32" s="27" customFormat="1" ht="11.45" customHeight="1">
      <c r="B300" s="55" t="s">
        <v>6452</v>
      </c>
      <c r="N300" s="119"/>
      <c r="P300" s="2489" t="s">
        <v>2772</v>
      </c>
      <c r="Q300" s="2967"/>
      <c r="AE300" s="115"/>
      <c r="AF300" s="115"/>
    </row>
    <row r="301" spans="1:32" s="33" customFormat="1" ht="11.45" customHeight="1">
      <c r="A301" s="47" t="s">
        <v>1893</v>
      </c>
      <c r="B301" s="175" t="s">
        <v>6456</v>
      </c>
      <c r="C301" s="522"/>
      <c r="D301" s="522"/>
      <c r="E301" s="522"/>
      <c r="F301" s="522"/>
      <c r="H301" s="522"/>
      <c r="I301" s="522"/>
      <c r="O301" s="159" t="s">
        <v>1893</v>
      </c>
      <c r="R301" s="1295"/>
    </row>
    <row r="302" spans="1:32" s="403" customFormat="1" ht="33" customHeight="1">
      <c r="B302" s="784" t="s">
        <v>1658</v>
      </c>
      <c r="C302" s="3951" t="s">
        <v>4027</v>
      </c>
      <c r="D302" s="3951"/>
      <c r="E302" s="3951"/>
      <c r="F302" s="3951"/>
      <c r="G302" s="3951"/>
      <c r="H302" s="3951"/>
      <c r="I302" s="3951"/>
      <c r="J302" s="3951"/>
      <c r="K302" s="3951"/>
      <c r="L302" s="3951"/>
      <c r="M302" s="3951"/>
      <c r="N302" s="3951"/>
      <c r="O302" s="1490" t="s">
        <v>1658</v>
      </c>
      <c r="P302" s="2502" t="s">
        <v>6927</v>
      </c>
      <c r="Q302" s="2968"/>
      <c r="AE302" s="444"/>
      <c r="AF302" s="444"/>
    </row>
    <row r="303" spans="1:32" s="403" customFormat="1" ht="21.75" customHeight="1">
      <c r="A303" s="140"/>
      <c r="B303" s="784" t="s">
        <v>1659</v>
      </c>
      <c r="C303" s="3951" t="s">
        <v>2618</v>
      </c>
      <c r="D303" s="3951"/>
      <c r="E303" s="3951"/>
      <c r="F303" s="3951"/>
      <c r="G303" s="3951"/>
      <c r="H303" s="3951"/>
      <c r="I303" s="3951"/>
      <c r="J303" s="3951"/>
      <c r="K303" s="3951"/>
      <c r="L303" s="3951"/>
      <c r="M303" s="3951"/>
      <c r="N303" s="3951"/>
      <c r="O303" s="1490" t="s">
        <v>1659</v>
      </c>
      <c r="P303" s="2659" t="s">
        <v>6927</v>
      </c>
      <c r="Q303" s="2963"/>
      <c r="AE303" s="444"/>
      <c r="AF303" s="444"/>
    </row>
    <row r="304" spans="1:32" s="27" customFormat="1" ht="12.75" customHeight="1">
      <c r="A304" s="137" t="s">
        <v>1895</v>
      </c>
      <c r="B304" s="175" t="s">
        <v>299</v>
      </c>
      <c r="C304" s="157"/>
      <c r="D304" s="522"/>
      <c r="E304" s="522"/>
      <c r="F304" s="157"/>
      <c r="J304" s="439" t="s">
        <v>1895</v>
      </c>
      <c r="K304" s="4031" t="s">
        <v>3480</v>
      </c>
      <c r="L304" s="4032"/>
      <c r="M304" s="4032"/>
      <c r="N304" s="4032"/>
      <c r="O304" s="4032"/>
      <c r="P304" s="4033"/>
      <c r="Q304" s="2974"/>
    </row>
    <row r="305" spans="1:32" s="33" customFormat="1" ht="11.45" customHeight="1">
      <c r="A305" s="137" t="s">
        <v>719</v>
      </c>
      <c r="B305" s="175" t="s">
        <v>6455</v>
      </c>
      <c r="C305" s="522"/>
      <c r="D305" s="522"/>
      <c r="E305" s="522"/>
      <c r="F305" s="522"/>
      <c r="H305" s="522"/>
      <c r="I305" s="522"/>
      <c r="R305" s="1295"/>
    </row>
    <row r="306" spans="1:32" s="27" customFormat="1" ht="11.45" customHeight="1">
      <c r="A306" s="137"/>
      <c r="B306" s="133" t="s">
        <v>6457</v>
      </c>
      <c r="C306" s="157"/>
      <c r="D306" s="522"/>
      <c r="E306" s="522"/>
      <c r="F306" s="157"/>
      <c r="H306" s="157"/>
      <c r="I306" s="157"/>
      <c r="N306" s="1666" t="s">
        <v>6458</v>
      </c>
      <c r="O306" s="439" t="s">
        <v>719</v>
      </c>
      <c r="P306" s="2507" t="s">
        <v>6927</v>
      </c>
      <c r="Q306" s="2974"/>
      <c r="R306" s="439"/>
    </row>
    <row r="307" spans="1:32" s="101" customFormat="1" ht="11.45" customHeight="1">
      <c r="A307" s="42"/>
      <c r="B307" s="139" t="s">
        <v>3371</v>
      </c>
      <c r="C307" s="42"/>
      <c r="D307" s="48"/>
      <c r="E307" s="48"/>
      <c r="F307" s="48"/>
      <c r="G307" s="48"/>
      <c r="K307" s="36"/>
      <c r="M307" s="46"/>
      <c r="N307" s="6"/>
      <c r="O307" s="3"/>
      <c r="P307" s="2649"/>
    </row>
    <row r="308" spans="1:32" s="43" customFormat="1" ht="21.75" customHeight="1">
      <c r="A308" s="3965" t="s">
        <v>6954</v>
      </c>
      <c r="B308" s="3966"/>
      <c r="C308" s="3966"/>
      <c r="D308" s="3966"/>
      <c r="E308" s="3966"/>
      <c r="F308" s="3966"/>
      <c r="G308" s="3966"/>
      <c r="H308" s="3966"/>
      <c r="I308" s="3966"/>
      <c r="J308" s="3966"/>
      <c r="K308" s="3966"/>
      <c r="L308" s="3966"/>
      <c r="M308" s="3966"/>
      <c r="N308" s="3966"/>
      <c r="O308" s="3966"/>
      <c r="P308" s="3966"/>
      <c r="Q308" s="3967"/>
      <c r="R308" s="427" t="s">
        <v>1208</v>
      </c>
    </row>
    <row r="309" spans="1:32" s="43" customFormat="1" ht="11.25" customHeight="1">
      <c r="A309" s="35"/>
      <c r="B309" s="135" t="s">
        <v>1780</v>
      </c>
      <c r="C309" s="136"/>
      <c r="D309" s="2656"/>
      <c r="E309" s="2656"/>
      <c r="F309" s="2656"/>
      <c r="G309" s="2656"/>
      <c r="H309" s="2656"/>
      <c r="I309" s="2656"/>
      <c r="J309" s="2656"/>
      <c r="K309" s="2656"/>
      <c r="L309" s="2656"/>
      <c r="M309" s="2656"/>
      <c r="N309" s="2656"/>
      <c r="O309" s="2656"/>
      <c r="P309" s="2656"/>
      <c r="Q309" s="2656"/>
      <c r="R309" s="35"/>
    </row>
    <row r="310" spans="1:32" s="43" customFormat="1" ht="11.25" customHeight="1">
      <c r="A310" s="3972"/>
      <c r="B310" s="3973"/>
      <c r="C310" s="3973"/>
      <c r="D310" s="3973"/>
      <c r="E310" s="3973"/>
      <c r="F310" s="3973"/>
      <c r="G310" s="3973"/>
      <c r="H310" s="3973"/>
      <c r="I310" s="3973"/>
      <c r="J310" s="3973"/>
      <c r="K310" s="3973"/>
      <c r="L310" s="3973"/>
      <c r="M310" s="3973"/>
      <c r="N310" s="3973"/>
      <c r="O310" s="3973"/>
      <c r="P310" s="3973"/>
      <c r="Q310" s="3974"/>
      <c r="R310" s="35"/>
    </row>
    <row r="311" spans="1:32" s="43" customFormat="1" ht="3" customHeight="1">
      <c r="A311" s="42"/>
      <c r="D311" s="39"/>
      <c r="E311" s="36"/>
      <c r="F311" s="777"/>
      <c r="G311" s="777"/>
      <c r="H311" s="777"/>
      <c r="I311" s="777"/>
      <c r="J311" s="783"/>
      <c r="K311" s="783"/>
      <c r="L311" s="783"/>
      <c r="M311" s="60"/>
      <c r="N311" s="777"/>
      <c r="O311" s="2653"/>
      <c r="P311" s="3"/>
    </row>
    <row r="312" spans="1:32" ht="14.1" customHeight="1">
      <c r="A312" s="2651" t="s">
        <v>3519</v>
      </c>
      <c r="B312" s="2651" t="s">
        <v>2522</v>
      </c>
      <c r="C312" s="2650"/>
      <c r="D312" s="2657"/>
      <c r="E312" s="2656"/>
      <c r="F312" s="2656"/>
      <c r="G312" s="2656"/>
      <c r="H312" s="2656"/>
      <c r="I312" s="2656"/>
      <c r="J312" s="2656"/>
      <c r="K312" s="2656"/>
      <c r="L312" s="2656"/>
      <c r="M312" s="2656"/>
      <c r="O312" s="130" t="s">
        <v>1781</v>
      </c>
      <c r="P312" s="3963"/>
      <c r="Q312" s="3964"/>
    </row>
    <row r="313" spans="1:32" s="27" customFormat="1" ht="11.45" customHeight="1">
      <c r="B313" s="55" t="s">
        <v>6452</v>
      </c>
      <c r="N313" s="119"/>
      <c r="P313" s="2489" t="s">
        <v>2772</v>
      </c>
      <c r="Q313" s="2967"/>
      <c r="AE313" s="115"/>
      <c r="AF313" s="115"/>
    </row>
    <row r="314" spans="1:32" ht="12.75" customHeight="1">
      <c r="A314" s="137" t="s">
        <v>1893</v>
      </c>
      <c r="B314" s="177" t="s">
        <v>3536</v>
      </c>
    </row>
    <row r="315" spans="1:32" s="146" customFormat="1" ht="44.25" customHeight="1">
      <c r="A315" s="140"/>
      <c r="B315" s="1305" t="s">
        <v>1658</v>
      </c>
      <c r="C315" s="3951" t="s">
        <v>3452</v>
      </c>
      <c r="D315" s="3951"/>
      <c r="E315" s="3951"/>
      <c r="F315" s="3951"/>
      <c r="G315" s="3951"/>
      <c r="H315" s="3951"/>
      <c r="I315" s="3951"/>
      <c r="J315" s="3951"/>
      <c r="K315" s="3951"/>
      <c r="L315" s="3951"/>
      <c r="M315" s="3951"/>
      <c r="N315" s="3951"/>
      <c r="O315" s="159" t="s">
        <v>2568</v>
      </c>
      <c r="P315" s="2502" t="s">
        <v>2769</v>
      </c>
      <c r="Q315" s="2968"/>
      <c r="AE315" s="443"/>
      <c r="AF315" s="443"/>
    </row>
    <row r="316" spans="1:32" s="403" customFormat="1" ht="12" customHeight="1">
      <c r="A316" s="140"/>
      <c r="B316" s="1305" t="s">
        <v>1659</v>
      </c>
      <c r="C316" s="3951" t="s">
        <v>4260</v>
      </c>
      <c r="D316" s="3951"/>
      <c r="E316" s="3951"/>
      <c r="F316" s="3951"/>
      <c r="G316" s="3951"/>
      <c r="H316" s="3951"/>
      <c r="I316" s="3951"/>
      <c r="J316" s="3951"/>
      <c r="K316" s="3951"/>
      <c r="L316" s="3951"/>
      <c r="M316" s="3951"/>
      <c r="N316" s="3951"/>
      <c r="O316" s="147" t="s">
        <v>1659</v>
      </c>
      <c r="P316" s="2658" t="s">
        <v>2769</v>
      </c>
      <c r="Q316" s="2961"/>
      <c r="AE316" s="444"/>
      <c r="AF316" s="444"/>
    </row>
    <row r="317" spans="1:32" s="403" customFormat="1" ht="21.75" customHeight="1">
      <c r="A317" s="140"/>
      <c r="B317" s="451" t="s">
        <v>1660</v>
      </c>
      <c r="C317" s="3951" t="s">
        <v>6459</v>
      </c>
      <c r="D317" s="3951"/>
      <c r="E317" s="3951"/>
      <c r="F317" s="3951"/>
      <c r="G317" s="3951"/>
      <c r="H317" s="3951"/>
      <c r="I317" s="3951"/>
      <c r="J317" s="3951"/>
      <c r="K317" s="3951"/>
      <c r="L317" s="3951"/>
      <c r="M317" s="3951"/>
      <c r="N317" s="3951"/>
      <c r="O317" s="159" t="s">
        <v>1660</v>
      </c>
      <c r="P317" s="2659" t="s">
        <v>2772</v>
      </c>
      <c r="Q317" s="2963"/>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51" t="s">
        <v>6462</v>
      </c>
      <c r="E319" s="3951"/>
      <c r="F319" s="3951"/>
      <c r="G319" s="3951"/>
      <c r="H319" s="3951"/>
      <c r="I319" s="138"/>
      <c r="J319" s="3993" t="s">
        <v>3399</v>
      </c>
      <c r="K319" s="4027"/>
      <c r="L319" s="4027"/>
      <c r="M319" s="4122" t="s">
        <v>3378</v>
      </c>
      <c r="N319" s="4122"/>
      <c r="AE319" s="445"/>
      <c r="AF319" s="445"/>
    </row>
    <row r="320" spans="1:32" s="289" customFormat="1" ht="10.5" customHeight="1">
      <c r="A320" s="300"/>
      <c r="B320" s="2621"/>
      <c r="D320" s="3951"/>
      <c r="E320" s="3951"/>
      <c r="F320" s="3951"/>
      <c r="G320" s="3951"/>
      <c r="H320" s="3951"/>
      <c r="I320" s="2630"/>
      <c r="J320" s="4027"/>
      <c r="K320" s="4027"/>
      <c r="L320" s="4027"/>
      <c r="M320" s="36" t="s">
        <v>3379</v>
      </c>
      <c r="N320" s="2673" t="s">
        <v>3398</v>
      </c>
      <c r="P320" s="298"/>
    </row>
    <row r="321" spans="1:33" s="289" customFormat="1" ht="13.35" customHeight="1">
      <c r="A321" s="300"/>
      <c r="B321" s="2621"/>
      <c r="D321" s="3951"/>
      <c r="E321" s="3951"/>
      <c r="F321" s="3951"/>
      <c r="G321" s="3951"/>
      <c r="H321" s="3951"/>
      <c r="I321" s="52" t="s">
        <v>3537</v>
      </c>
      <c r="K321" s="2508">
        <v>4</v>
      </c>
      <c r="L321" s="892" t="str">
        <f>IF(K321&lt;M321,"Check!!!","")</f>
        <v/>
      </c>
      <c r="M321" s="1667">
        <f>ROUNDUP('Part VI-Revenues &amp; Expenses'!$P$67*'Part VIII-Threshold Criteria'!N321,0)</f>
        <v>4</v>
      </c>
      <c r="N321" s="1291">
        <f>'DCA Underwriting Assumptions'!$Q$155</f>
        <v>0.05</v>
      </c>
      <c r="O321" s="439" t="s">
        <v>3287</v>
      </c>
      <c r="P321" s="2669" t="s">
        <v>2769</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51" t="s">
        <v>6463</v>
      </c>
      <c r="E322" s="3951"/>
      <c r="F322" s="3951"/>
      <c r="G322" s="3951"/>
      <c r="H322" s="3951"/>
      <c r="I322" s="774" t="s">
        <v>3538</v>
      </c>
      <c r="J322" s="289"/>
      <c r="K322" s="2509">
        <v>2</v>
      </c>
      <c r="L322" s="892" t="str">
        <f>IF(K322&lt;M322,"Check!!!","")</f>
        <v/>
      </c>
      <c r="M322" s="1668">
        <f>ROUNDUP(K321*'Part VIII-Threshold Criteria'!N322,0)</f>
        <v>2</v>
      </c>
      <c r="N322" s="1291">
        <f>'DCA Underwriting Assumptions'!$Q$156</f>
        <v>0.4</v>
      </c>
      <c r="O322" s="439" t="s">
        <v>2023</v>
      </c>
      <c r="P322" s="4159" t="s">
        <v>2769</v>
      </c>
      <c r="Q322" s="4157"/>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51"/>
      <c r="E323" s="3951"/>
      <c r="F323" s="3951"/>
      <c r="G323" s="3951"/>
      <c r="H323" s="3951"/>
      <c r="O323" s="40"/>
      <c r="P323" s="4160"/>
      <c r="Q323" s="415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1" t="s">
        <v>3370</v>
      </c>
      <c r="D324" s="3951"/>
      <c r="E324" s="3951"/>
      <c r="F324" s="3951"/>
      <c r="G324" s="3951"/>
      <c r="H324" s="3951"/>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51"/>
      <c r="D325" s="3951"/>
      <c r="E325" s="3951"/>
      <c r="F325" s="3951"/>
      <c r="G325" s="3951"/>
      <c r="H325" s="3951"/>
      <c r="J325" s="36"/>
      <c r="K325" s="36"/>
      <c r="L325" s="783"/>
      <c r="M325" s="1673"/>
      <c r="O325" s="36"/>
      <c r="P325" s="2673"/>
      <c r="Q325" s="36"/>
      <c r="T325" s="36"/>
      <c r="U325" s="774"/>
      <c r="V325" s="36"/>
      <c r="W325" s="774"/>
      <c r="X325" s="36"/>
      <c r="Y325" s="36"/>
      <c r="Z325" s="36"/>
      <c r="AA325" s="36"/>
      <c r="AB325" s="36"/>
      <c r="AC325" s="36"/>
      <c r="AD325" s="36"/>
      <c r="AE325" s="36"/>
      <c r="AF325" s="36"/>
      <c r="AG325" s="36"/>
    </row>
    <row r="326" spans="1:33" s="289" customFormat="1" ht="10.5" customHeight="1">
      <c r="A326" s="300"/>
      <c r="C326" s="3951"/>
      <c r="D326" s="3951"/>
      <c r="E326" s="3951"/>
      <c r="F326" s="3951"/>
      <c r="G326" s="3951"/>
      <c r="H326" s="3951"/>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6"/>
      <c r="E327" s="2656"/>
      <c r="F327" s="2656"/>
      <c r="G327" s="2656"/>
      <c r="H327" s="2656"/>
      <c r="O327" s="40"/>
      <c r="P327" s="439"/>
      <c r="V327" s="36"/>
      <c r="W327" s="774"/>
      <c r="X327" s="36"/>
      <c r="Z327" s="892"/>
      <c r="AA327" s="892"/>
      <c r="AB327" s="892"/>
      <c r="AC327" s="892"/>
      <c r="AD327" s="892"/>
      <c r="AE327" s="892"/>
      <c r="AF327" s="892"/>
      <c r="AG327" s="892"/>
    </row>
    <row r="328" spans="1:33" s="93" customFormat="1" ht="21.75" customHeight="1">
      <c r="B328" s="4086" t="s">
        <v>3289</v>
      </c>
      <c r="C328" s="4086"/>
      <c r="D328" s="4086"/>
      <c r="E328" s="4086"/>
      <c r="F328" s="4086"/>
      <c r="G328" s="4086"/>
      <c r="H328" s="4086"/>
      <c r="I328" s="4086"/>
      <c r="J328" s="4086"/>
      <c r="K328" s="4086"/>
      <c r="L328" s="4086"/>
      <c r="M328" s="4086"/>
      <c r="N328" s="4086"/>
      <c r="O328" s="159" t="s">
        <v>719</v>
      </c>
      <c r="P328" s="2507" t="s">
        <v>2769</v>
      </c>
      <c r="Q328" s="2974"/>
      <c r="AE328" s="445"/>
      <c r="AF328" s="445"/>
    </row>
    <row r="329" spans="1:33" s="93" customFormat="1" ht="11.25" customHeight="1">
      <c r="B329" s="382" t="s">
        <v>3290</v>
      </c>
      <c r="D329" s="382"/>
      <c r="E329" s="382"/>
      <c r="F329" s="382"/>
      <c r="G329" s="382"/>
      <c r="H329" s="382"/>
      <c r="I329" s="382" t="s">
        <v>3377</v>
      </c>
      <c r="J329" s="382"/>
      <c r="K329" s="382"/>
      <c r="L329" s="4138" t="s">
        <v>6955</v>
      </c>
      <c r="M329" s="4139"/>
      <c r="N329" s="4139"/>
      <c r="O329" s="4139"/>
      <c r="P329" s="4139"/>
      <c r="Q329" s="4140"/>
      <c r="R329" s="382"/>
      <c r="AE329" s="445"/>
      <c r="AF329" s="445"/>
    </row>
    <row r="330" spans="1:33" s="403" customFormat="1" ht="44.25" customHeight="1">
      <c r="B330" s="1305" t="s">
        <v>1658</v>
      </c>
      <c r="C330" s="3951" t="s">
        <v>3288</v>
      </c>
      <c r="D330" s="3951"/>
      <c r="E330" s="3951"/>
      <c r="F330" s="3951"/>
      <c r="G330" s="3951"/>
      <c r="H330" s="3951"/>
      <c r="I330" s="3951"/>
      <c r="J330" s="3951"/>
      <c r="K330" s="3951"/>
      <c r="L330" s="3951"/>
      <c r="M330" s="3951"/>
      <c r="N330" s="3951"/>
      <c r="O330" s="159" t="s">
        <v>3293</v>
      </c>
      <c r="P330" s="2502" t="s">
        <v>2769</v>
      </c>
      <c r="Q330" s="2968"/>
      <c r="AE330" s="444"/>
      <c r="AF330" s="444"/>
    </row>
    <row r="331" spans="1:33" s="403" customFormat="1" ht="34.5" customHeight="1">
      <c r="B331" s="1305" t="s">
        <v>1659</v>
      </c>
      <c r="C331" s="3951" t="s">
        <v>4008</v>
      </c>
      <c r="D331" s="3951"/>
      <c r="E331" s="3951"/>
      <c r="F331" s="3951"/>
      <c r="G331" s="3951"/>
      <c r="H331" s="3951"/>
      <c r="I331" s="3951"/>
      <c r="J331" s="3951"/>
      <c r="K331" s="3951"/>
      <c r="L331" s="3951"/>
      <c r="M331" s="3951"/>
      <c r="N331" s="3951"/>
      <c r="O331" s="159" t="s">
        <v>3294</v>
      </c>
      <c r="P331" s="2658" t="s">
        <v>2769</v>
      </c>
      <c r="Q331" s="2961"/>
      <c r="AE331" s="444"/>
      <c r="AF331" s="444"/>
    </row>
    <row r="332" spans="1:33" s="403" customFormat="1" ht="22.5" customHeight="1">
      <c r="B332" s="451" t="s">
        <v>1660</v>
      </c>
      <c r="C332" s="3951" t="s">
        <v>3291</v>
      </c>
      <c r="D332" s="3951"/>
      <c r="E332" s="3951"/>
      <c r="F332" s="3951"/>
      <c r="G332" s="3951"/>
      <c r="H332" s="3951"/>
      <c r="I332" s="3951"/>
      <c r="J332" s="3951"/>
      <c r="K332" s="3951"/>
      <c r="L332" s="3951"/>
      <c r="M332" s="3951"/>
      <c r="N332" s="3951"/>
      <c r="O332" s="159" t="s">
        <v>3295</v>
      </c>
      <c r="P332" s="2658" t="s">
        <v>2769</v>
      </c>
      <c r="Q332" s="2961"/>
      <c r="AE332" s="444"/>
      <c r="AF332" s="444"/>
    </row>
    <row r="333" spans="1:33" s="403" customFormat="1" ht="34.5" customHeight="1">
      <c r="B333" s="451" t="s">
        <v>2260</v>
      </c>
      <c r="C333" s="3951" t="s">
        <v>3292</v>
      </c>
      <c r="D333" s="3951"/>
      <c r="E333" s="3951"/>
      <c r="F333" s="3951"/>
      <c r="G333" s="3951"/>
      <c r="H333" s="3951"/>
      <c r="I333" s="3951"/>
      <c r="J333" s="3951"/>
      <c r="K333" s="3951"/>
      <c r="L333" s="3951"/>
      <c r="M333" s="3951"/>
      <c r="N333" s="3951"/>
      <c r="O333" s="159" t="s">
        <v>3296</v>
      </c>
      <c r="P333" s="2659" t="s">
        <v>2769</v>
      </c>
      <c r="Q333" s="2963"/>
      <c r="AE333" s="444"/>
      <c r="AF333" s="444"/>
    </row>
    <row r="334" spans="1:33" ht="11.25" customHeight="1">
      <c r="B334" s="139" t="s">
        <v>3371</v>
      </c>
      <c r="D334" s="139"/>
      <c r="E334" s="139"/>
      <c r="F334" s="139"/>
      <c r="G334" s="139"/>
      <c r="H334" s="40"/>
      <c r="I334" s="2673"/>
      <c r="J334" s="2673"/>
      <c r="K334" s="2673"/>
      <c r="L334" s="1401"/>
      <c r="M334" s="1401"/>
      <c r="N334" s="1401"/>
      <c r="O334" s="1401"/>
      <c r="P334" s="1401"/>
      <c r="Q334" s="782"/>
    </row>
    <row r="335" spans="1:33" ht="32.25" customHeight="1">
      <c r="A335" s="3965" t="s">
        <v>7013</v>
      </c>
      <c r="B335" s="3966"/>
      <c r="C335" s="3966"/>
      <c r="D335" s="3966"/>
      <c r="E335" s="3966"/>
      <c r="F335" s="3966"/>
      <c r="G335" s="3966"/>
      <c r="H335" s="3966"/>
      <c r="I335" s="3966"/>
      <c r="J335" s="3966"/>
      <c r="K335" s="3966"/>
      <c r="L335" s="3966"/>
      <c r="M335" s="3966"/>
      <c r="N335" s="3966"/>
      <c r="O335" s="3966"/>
      <c r="P335" s="3966"/>
      <c r="Q335" s="3967"/>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6"/>
      <c r="E336" s="2656"/>
      <c r="F336" s="2656"/>
      <c r="G336" s="2656"/>
      <c r="H336" s="2656"/>
      <c r="I336" s="2656"/>
      <c r="J336" s="2656"/>
      <c r="K336" s="2656"/>
      <c r="L336" s="2656"/>
      <c r="M336" s="2656"/>
      <c r="N336" s="2656"/>
      <c r="O336" s="2656"/>
      <c r="P336" s="2656"/>
      <c r="Q336" s="2656"/>
    </row>
    <row r="337" spans="1:256 1523:1523" ht="45.75" customHeight="1">
      <c r="A337" s="4161"/>
      <c r="B337" s="4162"/>
      <c r="C337" s="4162"/>
      <c r="D337" s="4162"/>
      <c r="E337" s="4162"/>
      <c r="F337" s="4162"/>
      <c r="G337" s="4162"/>
      <c r="H337" s="4162"/>
      <c r="I337" s="4162"/>
      <c r="J337" s="4162"/>
      <c r="K337" s="4162"/>
      <c r="L337" s="4162"/>
      <c r="M337" s="4162"/>
      <c r="N337" s="4162"/>
      <c r="O337" s="4162"/>
      <c r="P337" s="4162"/>
      <c r="Q337" s="4163"/>
    </row>
    <row r="338" spans="1:256 1523:1523" ht="14.1" customHeight="1">
      <c r="A338" s="2651" t="s">
        <v>3522</v>
      </c>
      <c r="B338" s="10" t="s">
        <v>2523</v>
      </c>
      <c r="C338" s="10"/>
      <c r="D338" s="10"/>
      <c r="E338" s="10"/>
      <c r="F338" s="10"/>
      <c r="G338" s="10"/>
      <c r="H338" s="2656"/>
      <c r="I338" s="2656"/>
      <c r="J338" s="2656"/>
      <c r="K338" s="2656"/>
      <c r="L338" s="2656"/>
      <c r="M338" s="2656"/>
      <c r="O338" s="130" t="s">
        <v>1781</v>
      </c>
      <c r="P338" s="4000"/>
      <c r="Q338" s="4001"/>
    </row>
    <row r="339" spans="1:256 1523:1523" ht="11.45" customHeight="1">
      <c r="B339" s="143" t="s">
        <v>2150</v>
      </c>
      <c r="P339" s="2492" t="s">
        <v>2772</v>
      </c>
      <c r="Q339" s="2953"/>
    </row>
    <row r="340" spans="1:256 1523:1523" ht="12" customHeight="1">
      <c r="B340" s="773" t="s">
        <v>2110</v>
      </c>
      <c r="C340" s="773"/>
      <c r="D340" s="773"/>
      <c r="E340" s="773"/>
      <c r="F340" s="773"/>
      <c r="G340" s="773"/>
      <c r="H340" s="773"/>
      <c r="I340" s="773"/>
      <c r="J340" s="773"/>
      <c r="K340" s="773"/>
      <c r="L340" s="773"/>
      <c r="O340" s="126"/>
      <c r="P340" s="2672" t="s">
        <v>2769</v>
      </c>
      <c r="Q340" s="2955"/>
    </row>
    <row r="341" spans="1:256 1523:1523" s="157" customFormat="1" ht="11.45" customHeight="1">
      <c r="A341" s="2511"/>
      <c r="B341" s="419" t="s">
        <v>3947</v>
      </c>
      <c r="E341" s="419"/>
      <c r="F341" s="419"/>
      <c r="G341" s="419"/>
      <c r="H341" s="419"/>
      <c r="I341" s="522"/>
      <c r="J341" s="378"/>
      <c r="K341" s="3997" t="s">
        <v>6956</v>
      </c>
      <c r="L341" s="3998"/>
      <c r="M341" s="3998"/>
      <c r="N341" s="3999"/>
      <c r="O341" s="559"/>
      <c r="P341" s="2512"/>
      <c r="Q341" s="2956"/>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51" t="s">
        <v>2673</v>
      </c>
      <c r="C343" s="3951"/>
      <c r="D343" s="3951"/>
      <c r="E343" s="3951"/>
      <c r="F343" s="3951"/>
      <c r="G343" s="3951"/>
      <c r="H343" s="3951"/>
      <c r="I343" s="3951"/>
      <c r="J343" s="3951"/>
      <c r="K343" s="3951"/>
      <c r="L343" s="3951"/>
      <c r="M343" s="3951"/>
      <c r="N343" s="3951"/>
      <c r="O343" s="159" t="s">
        <v>1893</v>
      </c>
      <c r="P343" s="2506" t="s">
        <v>2772</v>
      </c>
      <c r="Q343" s="2972"/>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35" t="s">
        <v>6616</v>
      </c>
      <c r="H345" s="4136"/>
      <c r="I345" s="4136"/>
      <c r="J345" s="4136"/>
      <c r="K345" s="4136"/>
      <c r="L345" s="4136"/>
      <c r="M345" s="4136"/>
      <c r="N345" s="4137"/>
      <c r="O345" s="213" t="s">
        <v>1658</v>
      </c>
      <c r="P345" s="2502" t="s">
        <v>2769</v>
      </c>
      <c r="Q345" s="2968"/>
      <c r="BFO345" s="146" t="s">
        <v>2569</v>
      </c>
    </row>
    <row r="346" spans="1:256 1523:1523" ht="23.25" customHeight="1">
      <c r="B346" s="773" t="s">
        <v>1659</v>
      </c>
      <c r="C346" s="3951" t="s">
        <v>1091</v>
      </c>
      <c r="D346" s="3951"/>
      <c r="E346" s="3951"/>
      <c r="F346" s="4002"/>
      <c r="G346" s="3435" t="s">
        <v>3380</v>
      </c>
      <c r="H346" s="4154"/>
      <c r="I346" s="4154"/>
      <c r="J346" s="4154"/>
      <c r="K346" s="4154"/>
      <c r="L346" s="4154"/>
      <c r="M346" s="4154"/>
      <c r="N346" s="4155"/>
      <c r="O346" s="213" t="s">
        <v>1659</v>
      </c>
      <c r="P346" s="2659" t="s">
        <v>2769</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6345</v>
      </c>
      <c r="D348" s="1607"/>
      <c r="E348" s="1607"/>
      <c r="F348" s="1607"/>
      <c r="G348" s="4156" t="s">
        <v>6346</v>
      </c>
      <c r="H348" s="4156"/>
      <c r="I348" s="4156"/>
      <c r="J348" s="4156"/>
      <c r="K348" s="4156"/>
      <c r="L348" s="4156"/>
      <c r="M348" s="4156"/>
      <c r="N348" s="4156"/>
      <c r="O348" s="425"/>
      <c r="P348" s="1401"/>
      <c r="Q348" s="782"/>
      <c r="AE348" s="442"/>
      <c r="AF348" s="442"/>
    </row>
    <row r="349" spans="1:256 1523:1523" s="131" customFormat="1" ht="11.25" customHeight="1">
      <c r="A349" s="142"/>
      <c r="B349" s="213" t="s">
        <v>2324</v>
      </c>
      <c r="C349" s="4028"/>
      <c r="D349" s="4029"/>
      <c r="E349" s="4029"/>
      <c r="F349" s="4029"/>
      <c r="G349" s="4029"/>
      <c r="H349" s="4029"/>
      <c r="I349" s="4029"/>
      <c r="J349" s="4029"/>
      <c r="K349" s="4029"/>
      <c r="L349" s="4029"/>
      <c r="M349" s="4029"/>
      <c r="N349" s="4030"/>
      <c r="O349" s="213" t="s">
        <v>6612</v>
      </c>
      <c r="P349" s="2502"/>
      <c r="Q349" s="2968"/>
      <c r="AE349" s="442"/>
      <c r="AF349" s="442"/>
    </row>
    <row r="350" spans="1:256 1523:1523" s="131" customFormat="1" ht="11.25" customHeight="1">
      <c r="A350" s="142"/>
      <c r="B350" s="213" t="s">
        <v>2325</v>
      </c>
      <c r="C350" s="4119"/>
      <c r="D350" s="4120"/>
      <c r="E350" s="4120"/>
      <c r="F350" s="4120"/>
      <c r="G350" s="4120"/>
      <c r="H350" s="4120"/>
      <c r="I350" s="4120"/>
      <c r="J350" s="4120"/>
      <c r="K350" s="4120"/>
      <c r="L350" s="4120"/>
      <c r="M350" s="4120"/>
      <c r="N350" s="4121"/>
      <c r="O350" s="213" t="s">
        <v>6613</v>
      </c>
      <c r="P350" s="2659"/>
      <c r="Q350" s="2963"/>
      <c r="AE350" s="442"/>
      <c r="AF350" s="442"/>
    </row>
    <row r="351" spans="1:256 1523:1523" ht="22.5" customHeight="1">
      <c r="A351" s="140" t="s">
        <v>2021</v>
      </c>
      <c r="B351" s="4086" t="s">
        <v>6347</v>
      </c>
      <c r="C351" s="4086"/>
      <c r="D351" s="4086"/>
      <c r="E351" s="4086"/>
      <c r="F351" s="4086"/>
      <c r="G351" s="4086"/>
      <c r="H351" s="4086"/>
      <c r="I351" s="4086"/>
      <c r="J351" s="4086"/>
      <c r="K351" s="4086"/>
      <c r="L351" s="4086"/>
      <c r="M351" s="4086"/>
      <c r="N351" s="4086"/>
      <c r="O351" s="159" t="s">
        <v>2021</v>
      </c>
      <c r="P351" s="2659" t="s">
        <v>6927</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3"/>
      <c r="J353" s="2673"/>
      <c r="K353" s="2673"/>
      <c r="L353" s="1401"/>
      <c r="M353" s="1401"/>
      <c r="N353" s="1401"/>
      <c r="O353" s="1401"/>
      <c r="P353" s="1401"/>
      <c r="Q353" s="782"/>
    </row>
    <row r="354" spans="1:31" ht="11.45" customHeight="1">
      <c r="A354" s="3965" t="s">
        <v>6957</v>
      </c>
      <c r="B354" s="3966"/>
      <c r="C354" s="3966"/>
      <c r="D354" s="3966"/>
      <c r="E354" s="3966"/>
      <c r="F354" s="3966"/>
      <c r="G354" s="3966"/>
      <c r="H354" s="3966"/>
      <c r="I354" s="3966"/>
      <c r="J354" s="3966"/>
      <c r="K354" s="3966"/>
      <c r="L354" s="3966"/>
      <c r="M354" s="3966"/>
      <c r="N354" s="3966"/>
      <c r="O354" s="3966"/>
      <c r="P354" s="3966"/>
      <c r="Q354" s="3967"/>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6"/>
      <c r="E355" s="2656"/>
      <c r="F355" s="2656"/>
      <c r="G355" s="2656"/>
      <c r="H355" s="2656"/>
      <c r="I355" s="2656"/>
      <c r="J355" s="2656"/>
      <c r="K355" s="2656"/>
      <c r="L355" s="2656"/>
      <c r="M355" s="2656"/>
      <c r="N355" s="2656"/>
      <c r="O355" s="2656"/>
      <c r="P355" s="2656"/>
      <c r="Q355" s="2656"/>
    </row>
    <row r="356" spans="1:31" ht="11.45" customHeight="1">
      <c r="A356" s="3972"/>
      <c r="B356" s="3973"/>
      <c r="C356" s="3973"/>
      <c r="D356" s="3973"/>
      <c r="E356" s="3973"/>
      <c r="F356" s="3973"/>
      <c r="G356" s="3973"/>
      <c r="H356" s="3973"/>
      <c r="I356" s="3973"/>
      <c r="J356" s="3973"/>
      <c r="K356" s="3973"/>
      <c r="L356" s="3973"/>
      <c r="M356" s="3973"/>
      <c r="N356" s="3973"/>
      <c r="O356" s="3973"/>
      <c r="P356" s="3973"/>
      <c r="Q356" s="3974"/>
    </row>
    <row r="357" spans="1:31" ht="14.1" customHeight="1">
      <c r="A357" s="2651" t="s">
        <v>3523</v>
      </c>
      <c r="B357" s="177" t="s">
        <v>3541</v>
      </c>
      <c r="C357" s="2651"/>
      <c r="D357" s="2656"/>
      <c r="E357" s="2656"/>
      <c r="F357" s="2656"/>
      <c r="G357" s="2656"/>
      <c r="H357" s="2656"/>
      <c r="O357" s="130" t="s">
        <v>1781</v>
      </c>
      <c r="P357" s="3963"/>
      <c r="Q357" s="3964"/>
    </row>
    <row r="358" spans="1:31" ht="11.45" customHeight="1">
      <c r="A358" s="47" t="s">
        <v>1893</v>
      </c>
      <c r="B358" s="55" t="s">
        <v>6377</v>
      </c>
      <c r="O358" s="159" t="s">
        <v>1893</v>
      </c>
      <c r="P358" s="2492" t="s">
        <v>2769</v>
      </c>
      <c r="Q358" s="2953"/>
    </row>
    <row r="359" spans="1:31" ht="11.45" customHeight="1">
      <c r="A359" s="140" t="s">
        <v>1895</v>
      </c>
      <c r="B359" s="55" t="s">
        <v>3513</v>
      </c>
      <c r="O359" s="159" t="s">
        <v>1895</v>
      </c>
      <c r="P359" s="2667" t="s">
        <v>2769</v>
      </c>
      <c r="Q359" s="2954"/>
    </row>
    <row r="360" spans="1:31" ht="11.45" customHeight="1">
      <c r="A360" s="140" t="s">
        <v>719</v>
      </c>
      <c r="B360" s="143" t="s">
        <v>2246</v>
      </c>
      <c r="O360" s="159" t="s">
        <v>719</v>
      </c>
      <c r="P360" s="2667" t="s">
        <v>2772</v>
      </c>
      <c r="Q360" s="2954"/>
    </row>
    <row r="361" spans="1:31" ht="11.45" customHeight="1">
      <c r="A361" s="47" t="s">
        <v>2021</v>
      </c>
      <c r="B361" s="55" t="s">
        <v>3414</v>
      </c>
      <c r="O361" s="439" t="s">
        <v>2021</v>
      </c>
      <c r="P361" s="2672" t="s">
        <v>2772</v>
      </c>
      <c r="Q361" s="2955"/>
    </row>
    <row r="362" spans="1:31" ht="11.45" customHeight="1">
      <c r="A362" s="140" t="s">
        <v>1656</v>
      </c>
      <c r="B362" s="55" t="s">
        <v>2674</v>
      </c>
      <c r="N362" s="159" t="s">
        <v>1656</v>
      </c>
      <c r="O362" s="4132" t="s">
        <v>4251</v>
      </c>
      <c r="P362" s="4133"/>
      <c r="Q362" s="4134"/>
    </row>
    <row r="363" spans="1:31" ht="11.45" customHeight="1">
      <c r="A363" s="140" t="s">
        <v>1657</v>
      </c>
      <c r="B363" s="399" t="s">
        <v>2247</v>
      </c>
      <c r="N363" s="159" t="s">
        <v>1657</v>
      </c>
      <c r="O363" s="4003" t="s">
        <v>2675</v>
      </c>
      <c r="P363" s="4004"/>
      <c r="Q363" s="4005"/>
    </row>
    <row r="364" spans="1:31" ht="11.25" customHeight="1">
      <c r="B364" s="139" t="s">
        <v>3371</v>
      </c>
      <c r="D364" s="139"/>
      <c r="E364" s="139"/>
      <c r="F364" s="139"/>
      <c r="G364" s="139"/>
      <c r="H364" s="40"/>
      <c r="I364" s="2673"/>
      <c r="J364" s="2673"/>
      <c r="K364" s="2673"/>
      <c r="L364" s="1401"/>
      <c r="M364" s="1401"/>
      <c r="N364" s="1401"/>
      <c r="O364" s="1401"/>
      <c r="P364" s="1401"/>
      <c r="Q364" s="782"/>
    </row>
    <row r="365" spans="1:31" ht="13.35" customHeight="1">
      <c r="A365" s="3965" t="s">
        <v>6958</v>
      </c>
      <c r="B365" s="3966"/>
      <c r="C365" s="3966"/>
      <c r="D365" s="3966"/>
      <c r="E365" s="3966"/>
      <c r="F365" s="3966"/>
      <c r="G365" s="3966"/>
      <c r="H365" s="3966"/>
      <c r="I365" s="3966"/>
      <c r="J365" s="3966"/>
      <c r="K365" s="3966"/>
      <c r="L365" s="3966"/>
      <c r="M365" s="3966"/>
      <c r="N365" s="3966"/>
      <c r="O365" s="3966"/>
      <c r="P365" s="3966"/>
      <c r="Q365" s="3967"/>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6"/>
      <c r="E366" s="2656"/>
      <c r="F366" s="2656"/>
      <c r="G366" s="2656"/>
      <c r="H366" s="2656"/>
      <c r="I366" s="2656"/>
      <c r="J366" s="2656"/>
      <c r="K366" s="2656"/>
      <c r="L366" s="2656"/>
      <c r="M366" s="2656"/>
      <c r="N366" s="2656"/>
      <c r="O366" s="2656"/>
      <c r="P366" s="2656"/>
      <c r="Q366" s="2656"/>
    </row>
    <row r="367" spans="1:31" ht="13.35" customHeight="1">
      <c r="A367" s="3972"/>
      <c r="B367" s="3973"/>
      <c r="C367" s="3973"/>
      <c r="D367" s="3973"/>
      <c r="E367" s="3973"/>
      <c r="F367" s="3973"/>
      <c r="G367" s="3973"/>
      <c r="H367" s="3973"/>
      <c r="I367" s="3973"/>
      <c r="J367" s="3973"/>
      <c r="K367" s="3973"/>
      <c r="L367" s="3973"/>
      <c r="M367" s="3973"/>
      <c r="N367" s="3973"/>
      <c r="O367" s="3973"/>
      <c r="P367" s="3973"/>
      <c r="Q367" s="3974"/>
    </row>
    <row r="368" spans="1:31" ht="2.25" customHeight="1">
      <c r="A368" s="1401"/>
      <c r="B368" s="2673"/>
      <c r="C368" s="2656"/>
      <c r="D368" s="2656"/>
      <c r="E368" s="2656"/>
      <c r="F368" s="2656"/>
      <c r="G368" s="2656"/>
      <c r="H368" s="2656"/>
      <c r="I368" s="2656"/>
      <c r="J368" s="2656"/>
      <c r="K368" s="2656"/>
      <c r="L368" s="2656"/>
      <c r="M368" s="2656"/>
      <c r="N368" s="2656"/>
      <c r="O368" s="2656"/>
      <c r="P368" s="2656"/>
      <c r="Q368" s="782"/>
      <c r="R368" s="8"/>
      <c r="S368" s="8"/>
    </row>
    <row r="369" spans="1:32" ht="14.1" customHeight="1">
      <c r="A369" s="2651" t="s">
        <v>3526</v>
      </c>
      <c r="B369" s="4" t="s">
        <v>6348</v>
      </c>
      <c r="C369" s="4"/>
      <c r="D369" s="4"/>
      <c r="E369" s="4"/>
      <c r="F369" s="4"/>
      <c r="G369" s="4"/>
      <c r="H369" s="2656"/>
      <c r="I369" s="2656"/>
      <c r="J369" s="2656"/>
      <c r="K369" s="2656"/>
      <c r="L369" s="2656"/>
      <c r="M369" s="2656"/>
      <c r="N369" s="1254" t="str">
        <f>IF('Part I-Project Information'!$P$101="yes","Applicant has applied for the RAD Setaside.","Applicant has NOT applied for the RAD Setaside.")</f>
        <v>Applicant has NOT applied for the RAD Setaside.</v>
      </c>
      <c r="O369" s="130" t="s">
        <v>1781</v>
      </c>
      <c r="P369" s="4124"/>
      <c r="Q369" s="3964"/>
    </row>
    <row r="370" spans="1:32" ht="21.75" customHeight="1">
      <c r="A370" s="140" t="s">
        <v>1893</v>
      </c>
      <c r="B370" s="3971" t="s">
        <v>6351</v>
      </c>
      <c r="C370" s="3971"/>
      <c r="D370" s="3971"/>
      <c r="E370" s="3971"/>
      <c r="F370" s="3971"/>
      <c r="G370" s="3971"/>
      <c r="H370" s="3971"/>
      <c r="I370" s="3971"/>
      <c r="J370" s="3971"/>
      <c r="K370" s="3971"/>
      <c r="L370" s="3971"/>
      <c r="M370" s="3971"/>
      <c r="N370" s="3971"/>
      <c r="O370" s="159" t="s">
        <v>1893</v>
      </c>
      <c r="P370" s="2507"/>
      <c r="Q370" s="2974"/>
    </row>
    <row r="371" spans="1:32" s="146" customFormat="1">
      <c r="A371" s="140"/>
      <c r="B371" s="1305"/>
      <c r="C371" s="52" t="s">
        <v>1712</v>
      </c>
      <c r="D371" s="52"/>
      <c r="E371" s="1610">
        <f>'Part VI-Revenues &amp; Expenses'!$P$67</f>
        <v>72</v>
      </c>
      <c r="F371" s="52" t="s">
        <v>4079</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51" t="s">
        <v>6349</v>
      </c>
      <c r="C372" s="3951"/>
      <c r="D372" s="3951"/>
      <c r="E372" s="3951"/>
      <c r="F372" s="3951"/>
      <c r="G372" s="3951"/>
      <c r="H372" s="3951"/>
      <c r="I372" s="3951"/>
      <c r="J372" s="3951"/>
      <c r="K372" s="3951"/>
      <c r="L372" s="3951"/>
      <c r="M372" s="3951"/>
      <c r="N372" s="3951"/>
      <c r="O372" s="159" t="s">
        <v>1895</v>
      </c>
      <c r="P372" s="2507"/>
      <c r="Q372" s="2974"/>
    </row>
    <row r="373" spans="1:32" ht="12.75" customHeight="1">
      <c r="A373" s="140"/>
      <c r="C373" s="52" t="s">
        <v>6350</v>
      </c>
      <c r="D373" s="52"/>
      <c r="E373" s="52"/>
      <c r="F373" s="52"/>
      <c r="G373" s="52"/>
      <c r="H373" s="52"/>
      <c r="I373" s="52"/>
      <c r="J373" s="52"/>
      <c r="M373" s="4130"/>
      <c r="N373" s="4131"/>
      <c r="O373" s="68"/>
      <c r="P373" s="68"/>
      <c r="Q373" s="68"/>
    </row>
    <row r="374" spans="1:32" ht="10.5" customHeight="1">
      <c r="B374" s="139" t="s">
        <v>3371</v>
      </c>
      <c r="D374" s="139"/>
      <c r="E374" s="139"/>
      <c r="F374" s="139"/>
      <c r="G374" s="139"/>
      <c r="H374" s="40"/>
      <c r="I374" s="2673"/>
      <c r="J374" s="2673"/>
      <c r="K374" s="2673"/>
      <c r="L374" s="1401"/>
      <c r="M374" s="1401"/>
      <c r="N374" s="1401"/>
      <c r="O374" s="1401"/>
      <c r="P374" s="1401"/>
      <c r="Q374" s="782"/>
    </row>
    <row r="375" spans="1:32" ht="12" customHeight="1">
      <c r="A375" s="3965" t="s">
        <v>6959</v>
      </c>
      <c r="B375" s="3966"/>
      <c r="C375" s="3966"/>
      <c r="D375" s="3966"/>
      <c r="E375" s="3966"/>
      <c r="F375" s="3966"/>
      <c r="G375" s="3966"/>
      <c r="H375" s="3966"/>
      <c r="I375" s="3966"/>
      <c r="J375" s="3966"/>
      <c r="K375" s="3966"/>
      <c r="L375" s="3966"/>
      <c r="M375" s="3966"/>
      <c r="N375" s="3966"/>
      <c r="O375" s="3966"/>
      <c r="P375" s="3966"/>
      <c r="Q375" s="3967"/>
      <c r="U375" s="134"/>
      <c r="V375" s="134"/>
      <c r="W375" s="134"/>
      <c r="X375" s="134"/>
      <c r="Y375" s="134"/>
      <c r="Z375" s="134"/>
      <c r="AA375" s="134"/>
      <c r="AB375" s="134"/>
      <c r="AC375" s="134"/>
      <c r="AD375" s="134"/>
      <c r="AE375" s="441"/>
    </row>
    <row r="376" spans="1:32" ht="10.5" customHeight="1">
      <c r="B376" s="135" t="s">
        <v>1780</v>
      </c>
      <c r="C376" s="136"/>
      <c r="D376" s="2656"/>
      <c r="E376" s="2656"/>
      <c r="F376" s="2656"/>
      <c r="G376" s="2656"/>
      <c r="H376" s="2656"/>
      <c r="I376" s="2656"/>
      <c r="J376" s="2656"/>
      <c r="K376" s="2656"/>
      <c r="L376" s="2656"/>
      <c r="M376" s="2656"/>
      <c r="N376" s="2656"/>
      <c r="O376" s="2656"/>
      <c r="P376" s="2656"/>
      <c r="Q376" s="2656"/>
    </row>
    <row r="377" spans="1:32" ht="12" customHeight="1">
      <c r="A377" s="3972"/>
      <c r="B377" s="3973"/>
      <c r="C377" s="3973"/>
      <c r="D377" s="3973"/>
      <c r="E377" s="3973"/>
      <c r="F377" s="3973"/>
      <c r="G377" s="3973"/>
      <c r="H377" s="3973"/>
      <c r="I377" s="3973"/>
      <c r="J377" s="3973"/>
      <c r="K377" s="3973"/>
      <c r="L377" s="3973"/>
      <c r="M377" s="3973"/>
      <c r="N377" s="3973"/>
      <c r="O377" s="3973"/>
      <c r="P377" s="3973"/>
      <c r="Q377" s="3974"/>
    </row>
    <row r="378" spans="1:32" ht="2.25" customHeight="1">
      <c r="A378" s="1401"/>
      <c r="B378" s="2673"/>
      <c r="C378" s="2656"/>
      <c r="D378" s="2656"/>
      <c r="E378" s="2656"/>
      <c r="F378" s="2656"/>
      <c r="G378" s="2656"/>
      <c r="H378" s="2656"/>
      <c r="I378" s="2656"/>
      <c r="J378" s="2656"/>
      <c r="K378" s="2656"/>
      <c r="L378" s="2656"/>
      <c r="M378" s="2656"/>
      <c r="N378" s="2656"/>
      <c r="O378" s="2656"/>
      <c r="P378" s="2656"/>
      <c r="Q378" s="782"/>
      <c r="R378" s="8"/>
      <c r="S378" s="8"/>
    </row>
    <row r="379" spans="1:32" ht="14.1" customHeight="1">
      <c r="A379" s="2651" t="s">
        <v>3527</v>
      </c>
      <c r="B379" s="4" t="s">
        <v>3505</v>
      </c>
      <c r="C379" s="4"/>
      <c r="D379" s="4"/>
      <c r="E379" s="4"/>
      <c r="F379" s="4"/>
      <c r="G379" s="4"/>
      <c r="H379" s="2656"/>
      <c r="I379" s="2656"/>
      <c r="J379" s="2656"/>
      <c r="K379" s="2656"/>
      <c r="L379" s="2656"/>
      <c r="M379" s="2656"/>
      <c r="N379" s="1254" t="str">
        <f>IF('Part I-Project Information'!$H$100="yes","Applicant has applied for Nonprofit Setaside.","Applicant has NOT applied for Nonprofit Setaside.")</f>
        <v>Applicant has NOT applied for Nonprofit Setaside.</v>
      </c>
      <c r="O379" s="130" t="s">
        <v>1781</v>
      </c>
      <c r="P379" s="4124"/>
      <c r="Q379" s="3964"/>
    </row>
    <row r="380" spans="1:32" ht="10.5" customHeight="1">
      <c r="A380" s="47" t="s">
        <v>1893</v>
      </c>
      <c r="B380" s="133" t="s">
        <v>3506</v>
      </c>
      <c r="D380" s="148"/>
      <c r="E380" s="148"/>
      <c r="F380" s="148"/>
      <c r="G380" s="148"/>
      <c r="H380" s="439" t="s">
        <v>1893</v>
      </c>
      <c r="I380" s="4125"/>
      <c r="J380" s="4126"/>
      <c r="K380" s="4126"/>
      <c r="L380" s="4126"/>
      <c r="M380" s="4126"/>
      <c r="N380" s="4126"/>
      <c r="O380" s="4126"/>
      <c r="P380" s="4127"/>
      <c r="Q380" s="2953"/>
    </row>
    <row r="381" spans="1:32" ht="10.5" customHeight="1">
      <c r="A381" s="140" t="s">
        <v>1895</v>
      </c>
      <c r="B381" s="133" t="s">
        <v>3507</v>
      </c>
      <c r="D381" s="148"/>
      <c r="E381" s="148"/>
      <c r="F381" s="148"/>
      <c r="G381" s="148"/>
      <c r="H381" s="159" t="s">
        <v>1895</v>
      </c>
      <c r="I381" s="3959"/>
      <c r="J381" s="3960"/>
      <c r="K381" s="3960"/>
      <c r="L381" s="3960"/>
      <c r="M381" s="3960"/>
      <c r="N381" s="3960"/>
      <c r="O381" s="3960"/>
      <c r="P381" s="3961"/>
      <c r="Q381" s="2955"/>
    </row>
    <row r="382" spans="1:32" ht="21.75" customHeight="1">
      <c r="A382" s="140" t="s">
        <v>719</v>
      </c>
      <c r="B382" s="3971" t="s">
        <v>3498</v>
      </c>
      <c r="C382" s="3971"/>
      <c r="D382" s="3971"/>
      <c r="E382" s="3971"/>
      <c r="F382" s="3971"/>
      <c r="G382" s="3971"/>
      <c r="H382" s="3971"/>
      <c r="I382" s="3971"/>
      <c r="J382" s="3971"/>
      <c r="K382" s="3971"/>
      <c r="L382" s="3971"/>
      <c r="M382" s="3971"/>
      <c r="N382" s="3971"/>
      <c r="O382" s="159" t="s">
        <v>719</v>
      </c>
      <c r="P382" s="2665"/>
      <c r="Q382" s="2968"/>
    </row>
    <row r="383" spans="1:32" ht="21.75" customHeight="1">
      <c r="A383" s="140" t="s">
        <v>2021</v>
      </c>
      <c r="B383" s="3951" t="s">
        <v>3499</v>
      </c>
      <c r="C383" s="3951"/>
      <c r="D383" s="3951"/>
      <c r="E383" s="3951"/>
      <c r="F383" s="3951"/>
      <c r="G383" s="3951"/>
      <c r="H383" s="3951"/>
      <c r="I383" s="3951"/>
      <c r="J383" s="3951"/>
      <c r="K383" s="3951"/>
      <c r="L383" s="3951"/>
      <c r="M383" s="3951"/>
      <c r="N383" s="3951"/>
      <c r="O383" s="159" t="s">
        <v>2021</v>
      </c>
      <c r="P383" s="2658"/>
      <c r="Q383" s="2961"/>
    </row>
    <row r="384" spans="1:32" ht="10.5" customHeight="1">
      <c r="A384" s="140" t="s">
        <v>1656</v>
      </c>
      <c r="B384" s="52" t="s">
        <v>3500</v>
      </c>
      <c r="D384" s="52"/>
      <c r="E384" s="52"/>
      <c r="F384" s="52"/>
      <c r="G384" s="52"/>
      <c r="H384" s="52"/>
      <c r="I384" s="52"/>
      <c r="J384" s="52"/>
      <c r="K384" s="52"/>
      <c r="L384" s="52"/>
      <c r="M384" s="52"/>
      <c r="O384" s="159" t="s">
        <v>1656</v>
      </c>
      <c r="P384" s="2667"/>
      <c r="Q384" s="2954"/>
    </row>
    <row r="385" spans="1:32" s="131" customFormat="1" ht="21.75" customHeight="1">
      <c r="A385" s="140" t="s">
        <v>1657</v>
      </c>
      <c r="B385" s="3951" t="s">
        <v>3501</v>
      </c>
      <c r="C385" s="3951"/>
      <c r="D385" s="3951"/>
      <c r="E385" s="3951"/>
      <c r="F385" s="3951"/>
      <c r="G385" s="3951"/>
      <c r="H385" s="3951"/>
      <c r="I385" s="3951"/>
      <c r="J385" s="3951"/>
      <c r="K385" s="3951"/>
      <c r="L385" s="3951"/>
      <c r="M385" s="3951"/>
      <c r="N385" s="3951"/>
      <c r="O385" s="159" t="s">
        <v>1657</v>
      </c>
      <c r="P385" s="2664"/>
      <c r="Q385" s="2975"/>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8"/>
      <c r="AE386" s="442"/>
      <c r="AF386" s="442"/>
    </row>
    <row r="387" spans="1:32" s="131" customFormat="1" ht="10.5" customHeight="1">
      <c r="C387" s="773" t="s">
        <v>4052</v>
      </c>
      <c r="E387" s="2656"/>
      <c r="F387" s="2656"/>
      <c r="G387" s="2656"/>
      <c r="H387" s="2656"/>
      <c r="I387" s="2656"/>
      <c r="J387" s="2656"/>
      <c r="K387" s="2656"/>
      <c r="L387" s="2656"/>
      <c r="M387" s="2656"/>
      <c r="N387" s="2656"/>
      <c r="P387" s="2659"/>
      <c r="Q387" s="2963"/>
      <c r="AE387" s="442"/>
      <c r="AF387" s="442"/>
    </row>
    <row r="388" spans="1:32" ht="21.75" customHeight="1">
      <c r="A388" s="140" t="s">
        <v>3124</v>
      </c>
      <c r="B388" s="3951" t="s">
        <v>3503</v>
      </c>
      <c r="C388" s="3951"/>
      <c r="D388" s="3951"/>
      <c r="E388" s="3951"/>
      <c r="F388" s="3951"/>
      <c r="G388" s="3951"/>
      <c r="H388" s="3951"/>
      <c r="I388" s="3951"/>
      <c r="J388" s="3951"/>
      <c r="K388" s="3951"/>
      <c r="L388" s="3951"/>
      <c r="M388" s="3951"/>
      <c r="N388" s="3951"/>
      <c r="O388" s="159" t="s">
        <v>3124</v>
      </c>
      <c r="P388" s="2502"/>
      <c r="Q388" s="2968"/>
    </row>
    <row r="389" spans="1:32" ht="33" customHeight="1">
      <c r="A389" s="140" t="s">
        <v>586</v>
      </c>
      <c r="B389" s="3951" t="s">
        <v>3504</v>
      </c>
      <c r="C389" s="3951"/>
      <c r="D389" s="3951"/>
      <c r="E389" s="3951"/>
      <c r="F389" s="3951"/>
      <c r="G389" s="3951"/>
      <c r="H389" s="3951"/>
      <c r="I389" s="3951"/>
      <c r="J389" s="3951"/>
      <c r="K389" s="3951"/>
      <c r="L389" s="3951"/>
      <c r="M389" s="3951"/>
      <c r="N389" s="3951"/>
      <c r="O389" s="159" t="s">
        <v>586</v>
      </c>
      <c r="P389" s="2659"/>
      <c r="Q389" s="2963"/>
    </row>
    <row r="390" spans="1:32" ht="10.5" customHeight="1">
      <c r="B390" s="139" t="s">
        <v>3371</v>
      </c>
      <c r="D390" s="139"/>
      <c r="E390" s="139"/>
      <c r="F390" s="139"/>
      <c r="G390" s="139"/>
      <c r="H390" s="40"/>
      <c r="I390" s="2673"/>
      <c r="J390" s="2673"/>
      <c r="K390" s="2673"/>
      <c r="L390" s="1401"/>
      <c r="M390" s="1401"/>
      <c r="N390" s="1401"/>
      <c r="O390" s="1401"/>
      <c r="P390" s="1401"/>
      <c r="Q390" s="782"/>
    </row>
    <row r="391" spans="1:32" ht="31.5" customHeight="1">
      <c r="A391" s="3965" t="s">
        <v>6959</v>
      </c>
      <c r="B391" s="3966"/>
      <c r="C391" s="3966"/>
      <c r="D391" s="3966"/>
      <c r="E391" s="3966"/>
      <c r="F391" s="3966"/>
      <c r="G391" s="3966"/>
      <c r="H391" s="3966"/>
      <c r="I391" s="3966"/>
      <c r="J391" s="3966"/>
      <c r="K391" s="3966"/>
      <c r="L391" s="3966"/>
      <c r="M391" s="3966"/>
      <c r="N391" s="3966"/>
      <c r="O391" s="3966"/>
      <c r="P391" s="3966"/>
      <c r="Q391" s="3967"/>
      <c r="U391" s="134"/>
      <c r="V391" s="134"/>
      <c r="W391" s="134"/>
      <c r="X391" s="134"/>
      <c r="Y391" s="134"/>
      <c r="Z391" s="134"/>
      <c r="AA391" s="134"/>
      <c r="AB391" s="134"/>
      <c r="AC391" s="134"/>
      <c r="AD391" s="134"/>
      <c r="AE391" s="441"/>
    </row>
    <row r="392" spans="1:32" ht="10.5" customHeight="1">
      <c r="B392" s="135" t="s">
        <v>1780</v>
      </c>
      <c r="C392" s="136"/>
      <c r="D392" s="2656"/>
      <c r="E392" s="2656"/>
      <c r="F392" s="2656"/>
      <c r="G392" s="2656"/>
      <c r="H392" s="2656"/>
      <c r="I392" s="2656"/>
      <c r="J392" s="2656"/>
      <c r="K392" s="2656"/>
      <c r="L392" s="2656"/>
      <c r="M392" s="2656"/>
      <c r="N392" s="2656"/>
      <c r="O392" s="2656"/>
      <c r="P392" s="2656"/>
      <c r="Q392" s="2656"/>
    </row>
    <row r="393" spans="1:32" ht="23.25" customHeight="1">
      <c r="A393" s="3972"/>
      <c r="B393" s="3973"/>
      <c r="C393" s="3973"/>
      <c r="D393" s="3973"/>
      <c r="E393" s="3973"/>
      <c r="F393" s="3973"/>
      <c r="G393" s="3973"/>
      <c r="H393" s="3973"/>
      <c r="I393" s="3973"/>
      <c r="J393" s="3973"/>
      <c r="K393" s="3973"/>
      <c r="L393" s="3973"/>
      <c r="M393" s="3973"/>
      <c r="N393" s="3973"/>
      <c r="O393" s="3973"/>
      <c r="P393" s="3973"/>
      <c r="Q393" s="3974"/>
    </row>
    <row r="394" spans="1:32" ht="3" customHeight="1">
      <c r="A394" s="1401"/>
      <c r="B394" s="2673"/>
      <c r="C394" s="2656"/>
      <c r="D394" s="2656"/>
      <c r="E394" s="2656"/>
      <c r="F394" s="2656"/>
      <c r="G394" s="2656"/>
      <c r="H394" s="2656"/>
      <c r="I394" s="2656"/>
      <c r="J394" s="2656"/>
      <c r="K394" s="2656"/>
      <c r="L394" s="2656"/>
      <c r="M394" s="2656"/>
      <c r="Q394" s="782"/>
    </row>
    <row r="395" spans="1:32" ht="3" customHeight="1">
      <c r="A395" s="1401"/>
      <c r="B395" s="2673"/>
      <c r="C395" s="2656"/>
      <c r="D395" s="2656"/>
      <c r="E395" s="2656"/>
      <c r="F395" s="2656"/>
      <c r="G395" s="2656"/>
      <c r="H395" s="2656"/>
      <c r="I395" s="2656"/>
      <c r="J395" s="2656"/>
      <c r="K395" s="2656"/>
      <c r="L395" s="2656"/>
      <c r="M395" s="2656"/>
      <c r="Q395" s="782"/>
      <c r="AF395" s="35"/>
    </row>
    <row r="396" spans="1:32" ht="14.1" customHeight="1">
      <c r="A396" s="2651" t="s">
        <v>3528</v>
      </c>
      <c r="B396" s="4" t="s">
        <v>2538</v>
      </c>
      <c r="C396" s="4"/>
      <c r="D396" s="4"/>
      <c r="E396" s="4"/>
      <c r="F396" s="4"/>
      <c r="G396" s="4"/>
      <c r="H396" s="2656"/>
      <c r="I396" s="2656"/>
      <c r="J396" s="2656"/>
      <c r="N396" s="1254" t="str">
        <f>IF('Part I-Project Information'!$H$103="yes","Applicant has applied for CHDO Setaside.","Applicant has NOT applied for CHDO Setaside.")</f>
        <v>Applicant has NOT applied for CHDO Setaside.</v>
      </c>
      <c r="O396" s="130" t="s">
        <v>1781</v>
      </c>
      <c r="P396" s="3963"/>
      <c r="Q396" s="3964"/>
      <c r="AF396" s="35"/>
    </row>
    <row r="397" spans="1:32" ht="11.45" customHeight="1">
      <c r="A397" s="47" t="s">
        <v>1893</v>
      </c>
      <c r="B397" s="116" t="s">
        <v>995</v>
      </c>
      <c r="E397" s="4100"/>
      <c r="F397" s="4101"/>
      <c r="G397" s="4101"/>
      <c r="H397" s="4101"/>
      <c r="I397" s="4102"/>
      <c r="J397" s="4103" t="s">
        <v>2526</v>
      </c>
      <c r="K397" s="4104"/>
      <c r="L397" s="4105"/>
      <c r="M397" s="4100"/>
      <c r="N397" s="4101"/>
      <c r="O397" s="4101"/>
      <c r="P397" s="4101"/>
      <c r="Q397" s="4102"/>
      <c r="AF397" s="35"/>
    </row>
    <row r="398" spans="1:32" s="131" customFormat="1" ht="22.5" customHeight="1">
      <c r="A398" s="140" t="s">
        <v>1895</v>
      </c>
      <c r="B398" s="3951" t="s">
        <v>3202</v>
      </c>
      <c r="C398" s="3951"/>
      <c r="D398" s="3951"/>
      <c r="E398" s="3951"/>
      <c r="F398" s="3951"/>
      <c r="G398" s="3951"/>
      <c r="H398" s="3951"/>
      <c r="I398" s="3951"/>
      <c r="J398" s="3951"/>
      <c r="K398" s="3951"/>
      <c r="L398" s="3951"/>
      <c r="M398" s="3951"/>
      <c r="N398" s="3951"/>
      <c r="O398" s="159" t="s">
        <v>1895</v>
      </c>
      <c r="P398" s="2658"/>
      <c r="Q398" s="2961"/>
      <c r="AE398" s="442"/>
    </row>
    <row r="399" spans="1:32">
      <c r="A399" s="140" t="s">
        <v>719</v>
      </c>
      <c r="B399" s="55" t="s">
        <v>3330</v>
      </c>
      <c r="G399" s="2660"/>
      <c r="H399" s="2660"/>
      <c r="I399" s="2660"/>
      <c r="J399" s="783" t="s">
        <v>3331</v>
      </c>
      <c r="L399" s="2660"/>
      <c r="M399" s="4128">
        <f>'Part III-Sources of Funds'!I6</f>
        <v>0</v>
      </c>
      <c r="N399" s="4129"/>
      <c r="O399" s="159" t="s">
        <v>719</v>
      </c>
      <c r="P399" s="2672"/>
      <c r="Q399" s="2955"/>
      <c r="AF399" s="35"/>
    </row>
    <row r="400" spans="1:32" ht="11.25" customHeight="1">
      <c r="B400" s="139" t="s">
        <v>3371</v>
      </c>
      <c r="D400" s="139"/>
      <c r="E400" s="139"/>
      <c r="F400" s="139"/>
      <c r="G400" s="139"/>
      <c r="H400" s="40"/>
      <c r="I400" s="2673"/>
      <c r="J400" s="2673"/>
      <c r="K400" s="2673"/>
      <c r="L400" s="1401"/>
      <c r="M400" s="1401"/>
      <c r="N400" s="1401"/>
      <c r="O400" s="1401"/>
      <c r="P400" s="1401"/>
      <c r="Q400" s="782"/>
      <c r="AF400" s="35"/>
    </row>
    <row r="401" spans="1:32" ht="11.45" customHeight="1">
      <c r="A401" s="3965" t="s">
        <v>6959</v>
      </c>
      <c r="B401" s="3966"/>
      <c r="C401" s="3966"/>
      <c r="D401" s="3966"/>
      <c r="E401" s="3966"/>
      <c r="F401" s="3966"/>
      <c r="G401" s="3966"/>
      <c r="H401" s="3966"/>
      <c r="I401" s="3966"/>
      <c r="J401" s="3966"/>
      <c r="K401" s="3966"/>
      <c r="L401" s="3966"/>
      <c r="M401" s="3966"/>
      <c r="N401" s="3966"/>
      <c r="O401" s="3966"/>
      <c r="P401" s="3966"/>
      <c r="Q401" s="3967"/>
      <c r="U401" s="134"/>
      <c r="V401" s="134"/>
      <c r="W401" s="134"/>
      <c r="X401" s="134"/>
      <c r="Y401" s="134"/>
      <c r="Z401" s="134"/>
      <c r="AA401" s="134"/>
      <c r="AB401" s="134"/>
      <c r="AC401" s="134"/>
      <c r="AD401" s="134"/>
      <c r="AE401" s="441"/>
      <c r="AF401" s="35"/>
    </row>
    <row r="402" spans="1:32" ht="11.25" customHeight="1">
      <c r="B402" s="135" t="s">
        <v>1780</v>
      </c>
      <c r="C402" s="136"/>
      <c r="D402" s="2656"/>
      <c r="E402" s="2656"/>
      <c r="F402" s="2656"/>
      <c r="G402" s="2656"/>
      <c r="H402" s="2656"/>
      <c r="I402" s="2656"/>
      <c r="J402" s="2656"/>
      <c r="K402" s="2656"/>
      <c r="L402" s="2656"/>
      <c r="M402" s="2656"/>
      <c r="N402" s="2656"/>
      <c r="O402" s="2656"/>
      <c r="P402" s="2656"/>
      <c r="Q402" s="2656"/>
      <c r="AF402" s="35"/>
    </row>
    <row r="403" spans="1:32" ht="11.45" customHeight="1">
      <c r="A403" s="3972"/>
      <c r="B403" s="3973"/>
      <c r="C403" s="3973"/>
      <c r="D403" s="3973"/>
      <c r="E403" s="3973"/>
      <c r="F403" s="3973"/>
      <c r="G403" s="3973"/>
      <c r="H403" s="3973"/>
      <c r="I403" s="3973"/>
      <c r="J403" s="3973"/>
      <c r="K403" s="3973"/>
      <c r="L403" s="3973"/>
      <c r="M403" s="3973"/>
      <c r="N403" s="3973"/>
      <c r="O403" s="3973"/>
      <c r="P403" s="3973"/>
      <c r="Q403" s="3974"/>
      <c r="AF403" s="35"/>
    </row>
    <row r="404" spans="1:32" ht="3.6" customHeight="1">
      <c r="A404" s="1401"/>
      <c r="B404" s="2673"/>
      <c r="C404" s="2656"/>
      <c r="D404" s="2656"/>
      <c r="E404" s="2656"/>
      <c r="F404" s="2656"/>
      <c r="G404" s="2656"/>
      <c r="H404" s="2656"/>
      <c r="I404" s="2656"/>
      <c r="J404" s="2656"/>
      <c r="K404" s="2656"/>
      <c r="L404" s="2656"/>
      <c r="M404" s="2656"/>
      <c r="Q404" s="782"/>
      <c r="AF404" s="35"/>
    </row>
    <row r="405" spans="1:32" ht="14.1" customHeight="1">
      <c r="A405" s="2651" t="s">
        <v>3529</v>
      </c>
      <c r="B405" s="4" t="s">
        <v>2524</v>
      </c>
      <c r="C405" s="4"/>
      <c r="D405" s="4"/>
      <c r="E405" s="2656"/>
      <c r="G405" s="138" t="s">
        <v>671</v>
      </c>
      <c r="H405" s="2656"/>
      <c r="I405" s="2656"/>
      <c r="J405" s="2656"/>
      <c r="K405" s="2656"/>
      <c r="L405" s="2656"/>
      <c r="M405" s="2656"/>
      <c r="O405" s="130" t="s">
        <v>1781</v>
      </c>
      <c r="P405" s="3963"/>
      <c r="Q405" s="4123"/>
      <c r="AF405" s="35"/>
    </row>
    <row r="406" spans="1:32" ht="12" customHeight="1">
      <c r="A406" s="47" t="s">
        <v>1893</v>
      </c>
      <c r="B406" s="52" t="s">
        <v>2527</v>
      </c>
      <c r="D406" s="784"/>
      <c r="E406" s="784"/>
      <c r="O406" s="439" t="s">
        <v>1893</v>
      </c>
      <c r="P406" s="2492"/>
      <c r="Q406" s="2953"/>
      <c r="AF406" s="35"/>
    </row>
    <row r="407" spans="1:32" ht="12" customHeight="1">
      <c r="A407" s="47" t="s">
        <v>1895</v>
      </c>
      <c r="B407" s="52" t="s">
        <v>3263</v>
      </c>
      <c r="D407" s="784"/>
      <c r="E407" s="784"/>
      <c r="O407" s="439" t="s">
        <v>1895</v>
      </c>
      <c r="P407" s="2667"/>
      <c r="Q407" s="2954"/>
      <c r="AF407" s="35"/>
    </row>
    <row r="408" spans="1:32" ht="12" customHeight="1">
      <c r="A408" s="47" t="s">
        <v>719</v>
      </c>
      <c r="B408" s="52" t="s">
        <v>4235</v>
      </c>
      <c r="D408" s="784"/>
      <c r="E408" s="784"/>
      <c r="O408" s="439" t="s">
        <v>719</v>
      </c>
      <c r="P408" s="2667"/>
      <c r="Q408" s="2954"/>
      <c r="AF408" s="35"/>
    </row>
    <row r="409" spans="1:32" ht="12" customHeight="1">
      <c r="A409" s="47" t="s">
        <v>2021</v>
      </c>
      <c r="B409" s="52" t="s">
        <v>3264</v>
      </c>
      <c r="E409" s="138"/>
      <c r="O409" s="439" t="s">
        <v>2021</v>
      </c>
      <c r="P409" s="2667"/>
      <c r="Q409" s="2954"/>
      <c r="AF409" s="35"/>
    </row>
    <row r="410" spans="1:32" ht="12" customHeight="1">
      <c r="A410" s="47" t="s">
        <v>1656</v>
      </c>
      <c r="B410" s="52" t="s">
        <v>1987</v>
      </c>
      <c r="E410" s="138"/>
      <c r="G410" s="439" t="s">
        <v>1656</v>
      </c>
      <c r="H410" s="4141"/>
      <c r="I410" s="4142"/>
      <c r="J410" s="4142"/>
      <c r="K410" s="4142"/>
      <c r="L410" s="4142"/>
      <c r="M410" s="4142"/>
      <c r="N410" s="4142"/>
      <c r="O410" s="4143"/>
      <c r="P410" s="2672"/>
      <c r="Q410" s="2955"/>
      <c r="AF410" s="35"/>
    </row>
    <row r="411" spans="1:32" ht="11.25" customHeight="1">
      <c r="B411" s="139" t="s">
        <v>3371</v>
      </c>
      <c r="D411" s="139"/>
      <c r="E411" s="139"/>
      <c r="F411" s="139"/>
      <c r="G411" s="139"/>
      <c r="H411" s="40"/>
      <c r="I411" s="2673"/>
      <c r="J411" s="2673"/>
      <c r="K411" s="2673"/>
      <c r="L411" s="1401"/>
      <c r="M411" s="1401"/>
      <c r="N411" s="1401"/>
      <c r="O411" s="1401"/>
      <c r="P411" s="1401"/>
      <c r="Q411" s="782"/>
      <c r="AF411" s="35"/>
    </row>
    <row r="412" spans="1:32" ht="11.45" customHeight="1">
      <c r="A412" s="3965" t="s">
        <v>6960</v>
      </c>
      <c r="B412" s="3966"/>
      <c r="C412" s="3966"/>
      <c r="D412" s="3966"/>
      <c r="E412" s="3966"/>
      <c r="F412" s="3966"/>
      <c r="G412" s="3966"/>
      <c r="H412" s="3966"/>
      <c r="I412" s="3966"/>
      <c r="J412" s="3966"/>
      <c r="K412" s="3966"/>
      <c r="L412" s="3966"/>
      <c r="M412" s="3966"/>
      <c r="N412" s="3966"/>
      <c r="O412" s="3966"/>
      <c r="P412" s="3966"/>
      <c r="Q412" s="3967"/>
      <c r="U412" s="134"/>
      <c r="V412" s="134"/>
      <c r="W412" s="134"/>
      <c r="X412" s="134"/>
      <c r="Y412" s="134"/>
      <c r="Z412" s="134"/>
      <c r="AA412" s="134"/>
      <c r="AB412" s="134"/>
      <c r="AC412" s="134"/>
      <c r="AD412" s="134"/>
      <c r="AE412" s="441"/>
      <c r="AF412" s="35"/>
    </row>
    <row r="413" spans="1:32" ht="11.25" customHeight="1">
      <c r="B413" s="135" t="s">
        <v>1780</v>
      </c>
      <c r="C413" s="136"/>
      <c r="D413" s="2656"/>
      <c r="E413" s="2656"/>
      <c r="F413" s="2656"/>
      <c r="G413" s="2656"/>
      <c r="H413" s="2656"/>
      <c r="I413" s="2656"/>
      <c r="J413" s="2656"/>
      <c r="K413" s="2656"/>
      <c r="L413" s="2656"/>
      <c r="M413" s="2656"/>
      <c r="N413" s="2656"/>
      <c r="O413" s="2656"/>
      <c r="P413" s="2656"/>
      <c r="Q413" s="2656"/>
      <c r="AF413" s="35"/>
    </row>
    <row r="414" spans="1:32" ht="11.45" customHeight="1">
      <c r="A414" s="3972"/>
      <c r="B414" s="3973"/>
      <c r="C414" s="3973"/>
      <c r="D414" s="3973"/>
      <c r="E414" s="3973"/>
      <c r="F414" s="3973"/>
      <c r="G414" s="3973"/>
      <c r="H414" s="3973"/>
      <c r="I414" s="3973"/>
      <c r="J414" s="3973"/>
      <c r="K414" s="3973"/>
      <c r="L414" s="3973"/>
      <c r="M414" s="3973"/>
      <c r="N414" s="3973"/>
      <c r="O414" s="3973"/>
      <c r="P414" s="3973"/>
      <c r="Q414" s="3974"/>
      <c r="AF414" s="35"/>
    </row>
    <row r="415" spans="1:32" ht="3" customHeight="1">
      <c r="A415" s="1401"/>
      <c r="B415" s="2673"/>
      <c r="C415" s="2656"/>
      <c r="D415" s="2656"/>
      <c r="E415" s="2656"/>
      <c r="F415" s="2656"/>
      <c r="G415" s="2656"/>
      <c r="H415" s="2656"/>
      <c r="I415" s="2656"/>
      <c r="J415" s="2656"/>
      <c r="K415" s="2656"/>
      <c r="L415" s="2656"/>
      <c r="M415" s="2656"/>
      <c r="N415" s="2656"/>
      <c r="O415" s="2656"/>
      <c r="P415" s="2656"/>
      <c r="Q415" s="1401"/>
      <c r="AF415" s="35"/>
    </row>
    <row r="416" spans="1:32" ht="14.1" customHeight="1">
      <c r="A416" s="2651" t="s">
        <v>3530</v>
      </c>
      <c r="B416" s="4" t="s">
        <v>4137</v>
      </c>
      <c r="C416" s="4"/>
      <c r="D416" s="4"/>
      <c r="E416" s="4"/>
      <c r="F416" s="4"/>
      <c r="G416" s="4"/>
      <c r="H416" s="2656"/>
      <c r="I416" s="2656"/>
      <c r="J416" s="2656"/>
      <c r="K416" s="2656"/>
      <c r="L416" s="2656"/>
      <c r="M416" s="2656"/>
      <c r="O416" s="130" t="s">
        <v>1781</v>
      </c>
      <c r="P416" s="4147"/>
      <c r="Q416" s="4148"/>
      <c r="AF416" s="35"/>
    </row>
    <row r="417" spans="1:33" ht="12" customHeight="1">
      <c r="B417" s="55" t="s">
        <v>6546</v>
      </c>
      <c r="O417" s="65"/>
      <c r="P417" s="2493"/>
      <c r="Q417" s="2956"/>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6"/>
      <c r="AF419" s="35"/>
    </row>
    <row r="420" spans="1:33" ht="12" customHeight="1">
      <c r="B420" s="52"/>
      <c r="C420" s="36" t="s">
        <v>4236</v>
      </c>
      <c r="D420" s="55" t="s">
        <v>4237</v>
      </c>
      <c r="E420" s="42"/>
      <c r="F420" s="42"/>
      <c r="G420" s="42"/>
      <c r="H420" s="42"/>
      <c r="I420" s="42"/>
      <c r="J420" s="42"/>
      <c r="K420" s="42"/>
      <c r="L420" s="42"/>
      <c r="M420" s="42"/>
      <c r="N420" s="42"/>
      <c r="O420" s="439" t="s">
        <v>4236</v>
      </c>
      <c r="P420" s="3954"/>
      <c r="Q420" s="3952"/>
      <c r="AF420" s="35"/>
    </row>
    <row r="421" spans="1:33" ht="12" customHeight="1">
      <c r="A421" s="47"/>
      <c r="D421" s="52" t="s">
        <v>6838</v>
      </c>
      <c r="E421" s="52"/>
      <c r="F421" s="52"/>
      <c r="G421" s="52"/>
      <c r="H421" s="52"/>
      <c r="I421" s="52"/>
      <c r="J421" s="52"/>
      <c r="K421" s="52"/>
      <c r="L421" s="52"/>
      <c r="M421" s="52"/>
      <c r="N421" s="42"/>
      <c r="O421" s="1487"/>
      <c r="P421" s="3955"/>
      <c r="Q421" s="3953"/>
      <c r="AF421" s="35"/>
    </row>
    <row r="422" spans="1:33" ht="12" customHeight="1">
      <c r="C422" s="52" t="s">
        <v>2325</v>
      </c>
      <c r="D422" s="52" t="s">
        <v>3203</v>
      </c>
      <c r="E422" s="52"/>
      <c r="F422" s="52"/>
      <c r="G422" s="52"/>
      <c r="H422" s="52"/>
      <c r="I422" s="52"/>
      <c r="J422" s="52"/>
      <c r="K422" s="52"/>
      <c r="L422" s="52"/>
      <c r="M422" s="52"/>
      <c r="N422" s="42"/>
      <c r="O422" s="64" t="s">
        <v>2325</v>
      </c>
      <c r="P422" s="2500"/>
      <c r="Q422" s="2965"/>
      <c r="AF422" s="35"/>
    </row>
    <row r="423" spans="1:33" s="146" customFormat="1" ht="12" customHeight="1">
      <c r="A423" s="47"/>
      <c r="C423" s="52" t="s">
        <v>4140</v>
      </c>
      <c r="D423" s="52" t="s">
        <v>3260</v>
      </c>
      <c r="E423" s="52"/>
      <c r="F423" s="52"/>
      <c r="G423" s="52"/>
      <c r="H423" s="52"/>
      <c r="I423" s="52"/>
      <c r="J423" s="52"/>
      <c r="K423" s="52"/>
      <c r="L423" s="52"/>
      <c r="M423" s="52"/>
      <c r="N423" s="93"/>
      <c r="O423" s="64" t="s">
        <v>2326</v>
      </c>
      <c r="P423" s="2514"/>
      <c r="Q423" s="2966"/>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7"/>
    </row>
    <row r="425" spans="1:33" ht="12" customHeight="1">
      <c r="A425" s="47"/>
      <c r="B425" s="1398" t="s">
        <v>2416</v>
      </c>
      <c r="C425" s="3951" t="s">
        <v>6401</v>
      </c>
      <c r="D425" s="3951"/>
      <c r="E425" s="3951"/>
      <c r="F425" s="3951"/>
      <c r="G425" s="133" t="s">
        <v>4141</v>
      </c>
      <c r="J425" s="2515"/>
      <c r="K425" s="2977"/>
      <c r="M425" s="133" t="s">
        <v>6493</v>
      </c>
      <c r="P425" s="2516"/>
      <c r="Q425" s="2978"/>
    </row>
    <row r="426" spans="1:33" ht="12" customHeight="1">
      <c r="A426" s="47"/>
      <c r="C426" s="3951"/>
      <c r="D426" s="3951"/>
      <c r="E426" s="3951"/>
      <c r="F426" s="3951"/>
      <c r="G426" s="133" t="s">
        <v>6492</v>
      </c>
      <c r="J426" s="2517"/>
      <c r="K426" s="2979"/>
      <c r="M426" s="133" t="s">
        <v>6494</v>
      </c>
      <c r="P426" s="2517"/>
      <c r="Q426" s="2979"/>
    </row>
    <row r="427" spans="1:33" ht="8.25" customHeight="1">
      <c r="A427" s="47"/>
      <c r="C427" s="3951"/>
      <c r="D427" s="3951"/>
      <c r="E427" s="3951"/>
      <c r="F427" s="3951"/>
      <c r="J427" s="1603"/>
      <c r="L427" s="783"/>
      <c r="M427" s="42"/>
      <c r="N427" s="439"/>
    </row>
    <row r="428" spans="1:33" s="93" customFormat="1" ht="12.75" customHeight="1">
      <c r="A428" s="137"/>
      <c r="B428" s="177"/>
      <c r="D428" s="970"/>
      <c r="E428" s="970"/>
      <c r="F428" s="970"/>
      <c r="G428" s="970"/>
      <c r="H428" s="970"/>
      <c r="I428" s="3993" t="s">
        <v>6435</v>
      </c>
      <c r="J428" s="3993" t="s">
        <v>6436</v>
      </c>
      <c r="K428" s="3993" t="s">
        <v>6438</v>
      </c>
      <c r="L428" s="3993"/>
      <c r="M428" s="3993"/>
      <c r="N428" s="4164" t="s">
        <v>6437</v>
      </c>
      <c r="O428" s="439"/>
      <c r="P428" s="439"/>
      <c r="Q428" s="439"/>
      <c r="AE428" s="445"/>
    </row>
    <row r="429" spans="1:33" s="93" customFormat="1" ht="12.75" customHeight="1">
      <c r="A429" s="137"/>
      <c r="B429" s="177"/>
      <c r="D429" s="970"/>
      <c r="E429" s="970"/>
      <c r="F429" s="970"/>
      <c r="G429" s="970"/>
      <c r="H429" s="970"/>
      <c r="I429" s="3994"/>
      <c r="J429" s="3993"/>
      <c r="K429" s="3993"/>
      <c r="L429" s="3993"/>
      <c r="M429" s="3993"/>
      <c r="N429" s="4165"/>
      <c r="O429" s="439"/>
      <c r="P429" s="439"/>
      <c r="Q429" s="439"/>
      <c r="AE429" s="445"/>
    </row>
    <row r="430" spans="1:33" s="93" customFormat="1" ht="12.75" customHeight="1">
      <c r="A430" s="173"/>
      <c r="B430" s="1305"/>
      <c r="C430" s="3951" t="s">
        <v>6600</v>
      </c>
      <c r="D430" s="3951"/>
      <c r="E430" s="3951"/>
      <c r="F430" s="3951"/>
      <c r="G430" s="3951"/>
      <c r="H430" s="3951"/>
      <c r="I430" s="1582">
        <f>$K$321</f>
        <v>4</v>
      </c>
      <c r="J430" s="2518"/>
      <c r="K430" s="4018"/>
      <c r="L430" s="4018"/>
      <c r="M430" s="4019"/>
      <c r="N430" s="1664">
        <f>MAX(J430,K430)</f>
        <v>0</v>
      </c>
      <c r="O430" s="64" t="s">
        <v>2328</v>
      </c>
      <c r="P430" s="2493"/>
      <c r="Q430" s="2956"/>
      <c r="AE430" s="445"/>
      <c r="AF430" s="445"/>
    </row>
    <row r="431" spans="1:33" s="289" customFormat="1" ht="12.75" customHeight="1">
      <c r="A431" s="300"/>
      <c r="B431" s="2621"/>
      <c r="C431" s="3951"/>
      <c r="D431" s="3951"/>
      <c r="E431" s="3951"/>
      <c r="F431" s="3951"/>
      <c r="G431" s="3951"/>
      <c r="H431" s="3951"/>
      <c r="I431" s="2630"/>
      <c r="J431" s="2980"/>
      <c r="K431" s="4166"/>
      <c r="L431" s="4166"/>
      <c r="M431" s="4167"/>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6439</v>
      </c>
      <c r="E433" s="138"/>
      <c r="F433" s="138"/>
      <c r="G433" s="138"/>
      <c r="H433" s="138"/>
      <c r="I433" s="1582">
        <f>$K$322</f>
        <v>2</v>
      </c>
      <c r="J433" s="2518"/>
      <c r="K433" s="4018"/>
      <c r="L433" s="4018"/>
      <c r="M433" s="4019"/>
      <c r="N433" s="1664">
        <f>MAX(J433,K433)</f>
        <v>0</v>
      </c>
      <c r="O433" s="439"/>
      <c r="P433" s="2519"/>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0"/>
      <c r="K434" s="4166"/>
      <c r="L434" s="4166"/>
      <c r="M434" s="4167"/>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1" t="s">
        <v>6601</v>
      </c>
      <c r="D436" s="3951"/>
      <c r="E436" s="3951"/>
      <c r="F436" s="3951"/>
      <c r="G436" s="3951"/>
      <c r="H436" s="3951"/>
      <c r="I436" s="1582">
        <f>$K$324</f>
        <v>2</v>
      </c>
      <c r="J436" s="2518"/>
      <c r="K436" s="4018"/>
      <c r="L436" s="4018"/>
      <c r="M436" s="4019"/>
      <c r="N436" s="1664">
        <f>MAX(J436,K436)</f>
        <v>0</v>
      </c>
      <c r="O436" s="64" t="s">
        <v>2344</v>
      </c>
      <c r="P436" s="2493"/>
      <c r="Q436" s="2956"/>
      <c r="T436" s="52"/>
      <c r="U436" s="52"/>
      <c r="V436" s="52"/>
      <c r="W436" s="52"/>
      <c r="X436" s="52"/>
      <c r="Y436" s="52"/>
      <c r="Z436" s="52"/>
      <c r="AA436" s="52"/>
      <c r="AB436" s="52"/>
      <c r="AC436" s="52"/>
      <c r="AD436" s="52"/>
      <c r="AE436" s="52"/>
      <c r="AF436" s="52"/>
      <c r="AG436" s="52"/>
    </row>
    <row r="437" spans="1:33" s="289" customFormat="1" ht="12.75" customHeight="1">
      <c r="A437" s="300"/>
      <c r="C437" s="3951"/>
      <c r="D437" s="3951"/>
      <c r="E437" s="3951"/>
      <c r="F437" s="3951"/>
      <c r="G437" s="3951"/>
      <c r="H437" s="3951"/>
      <c r="J437" s="2980"/>
      <c r="K437" s="4166"/>
      <c r="L437" s="4166"/>
      <c r="M437" s="4167"/>
      <c r="N437" s="1664">
        <f>MAX(J437,K437)</f>
        <v>0</v>
      </c>
      <c r="O437" s="36"/>
      <c r="P437" s="2673"/>
      <c r="Q437" s="36"/>
      <c r="T437" s="36"/>
      <c r="U437" s="774"/>
      <c r="V437" s="36"/>
      <c r="W437" s="774"/>
      <c r="X437" s="36"/>
      <c r="Y437" s="36"/>
      <c r="Z437" s="36"/>
      <c r="AA437" s="36"/>
      <c r="AB437" s="36"/>
      <c r="AC437" s="36"/>
      <c r="AD437" s="36"/>
      <c r="AE437" s="36"/>
      <c r="AF437" s="36"/>
      <c r="AG437" s="36"/>
    </row>
    <row r="438" spans="1:33" s="289" customFormat="1" ht="3" customHeight="1">
      <c r="A438" s="300"/>
      <c r="C438" s="2656"/>
      <c r="D438" s="2656"/>
      <c r="E438" s="2656"/>
      <c r="F438" s="2656"/>
      <c r="G438" s="2656"/>
      <c r="H438" s="2656"/>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2324</v>
      </c>
      <c r="P440" s="2493" t="s">
        <v>1691</v>
      </c>
      <c r="Q440" s="2956" t="s">
        <v>1691</v>
      </c>
    </row>
    <row r="441" spans="1:33" ht="12" customHeight="1">
      <c r="A441" s="42"/>
      <c r="B441" s="146"/>
      <c r="D441" s="4153" t="s">
        <v>6497</v>
      </c>
      <c r="E441" s="1274" t="s">
        <v>2347</v>
      </c>
      <c r="F441" s="418" t="s">
        <v>3425</v>
      </c>
      <c r="G441" s="4149"/>
      <c r="H441" s="4150"/>
      <c r="I441" s="4150"/>
      <c r="J441" s="4150"/>
      <c r="K441" s="4151"/>
      <c r="L441" s="1274"/>
    </row>
    <row r="442" spans="1:33" ht="12" customHeight="1">
      <c r="B442" s="146"/>
      <c r="D442" s="4153"/>
      <c r="E442" s="1274" t="s">
        <v>4138</v>
      </c>
      <c r="F442" s="418" t="s">
        <v>4139</v>
      </c>
      <c r="G442" s="4097" t="s">
        <v>3333</v>
      </c>
      <c r="H442" s="4098"/>
      <c r="I442" s="4099"/>
      <c r="J442" s="418" t="s">
        <v>3965</v>
      </c>
      <c r="K442" s="146"/>
      <c r="M442" s="4149"/>
      <c r="N442" s="4150"/>
      <c r="O442" s="4150"/>
      <c r="P442" s="4150"/>
      <c r="Q442" s="4151"/>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4144"/>
      <c r="C444" s="4145"/>
      <c r="D444" s="4145"/>
      <c r="E444" s="4145"/>
      <c r="F444" s="4145"/>
      <c r="G444" s="4145"/>
      <c r="H444" s="4145"/>
      <c r="I444" s="4145"/>
      <c r="J444" s="4145"/>
      <c r="K444" s="4145"/>
      <c r="L444" s="4145"/>
      <c r="M444" s="4145"/>
      <c r="N444" s="4145"/>
      <c r="O444" s="4145"/>
      <c r="P444" s="4145"/>
      <c r="Q444" s="4146"/>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52" t="s">
        <v>4238</v>
      </c>
      <c r="C446" s="3951"/>
      <c r="D446" s="3951"/>
      <c r="E446" s="3951"/>
      <c r="F446" s="3951"/>
      <c r="G446" s="3951"/>
      <c r="H446" s="3951"/>
      <c r="I446" s="3951"/>
      <c r="J446" s="3951"/>
      <c r="K446" s="3951"/>
      <c r="L446" s="3951"/>
      <c r="M446" s="3951"/>
      <c r="N446" s="3951"/>
      <c r="T446" s="443"/>
      <c r="AE446" s="443"/>
      <c r="AF446" s="443"/>
    </row>
    <row r="447" spans="1:33" s="146" customFormat="1" ht="12" customHeight="1">
      <c r="A447" s="140"/>
      <c r="B447" s="773" t="s">
        <v>4142</v>
      </c>
      <c r="C447" s="2656"/>
      <c r="D447" s="2656"/>
      <c r="E447" s="2656"/>
      <c r="F447" s="2656"/>
      <c r="G447" s="2656"/>
      <c r="H447" s="2656"/>
      <c r="I447" s="2656"/>
      <c r="J447" s="2656"/>
      <c r="K447" s="2656"/>
      <c r="L447" s="2656"/>
      <c r="M447" s="2656"/>
      <c r="N447" s="2656"/>
      <c r="T447" s="443"/>
      <c r="AE447" s="443"/>
      <c r="AF447" s="443"/>
    </row>
    <row r="448" spans="1:33" s="146" customFormat="1" ht="48" customHeight="1">
      <c r="B448" s="3951" t="s">
        <v>4143</v>
      </c>
      <c r="C448" s="3951"/>
      <c r="D448" s="3951"/>
      <c r="E448" s="3951"/>
      <c r="F448" s="3951"/>
      <c r="G448" s="3951"/>
      <c r="H448" s="3951"/>
      <c r="I448" s="3951"/>
      <c r="J448" s="3951"/>
      <c r="K448" s="3951"/>
      <c r="L448" s="3951"/>
      <c r="M448" s="3951"/>
      <c r="N448" s="3951"/>
      <c r="O448" s="159" t="s">
        <v>1895</v>
      </c>
      <c r="P448" s="2507"/>
      <c r="Q448" s="2974"/>
      <c r="T448" s="443"/>
      <c r="AE448" s="443"/>
      <c r="AF448" s="443"/>
    </row>
    <row r="449" spans="1:32" ht="12" customHeight="1">
      <c r="B449" s="139" t="s">
        <v>3371</v>
      </c>
      <c r="D449" s="139"/>
      <c r="E449" s="139"/>
      <c r="F449" s="139"/>
      <c r="G449" s="139"/>
      <c r="H449" s="40"/>
      <c r="I449" s="2673"/>
      <c r="J449" s="2673"/>
      <c r="K449" s="2673"/>
    </row>
    <row r="450" spans="1:32" ht="33.6" customHeight="1">
      <c r="A450" s="3965" t="s">
        <v>6961</v>
      </c>
      <c r="B450" s="3966"/>
      <c r="C450" s="3966"/>
      <c r="D450" s="3966"/>
      <c r="E450" s="3966"/>
      <c r="F450" s="3966"/>
      <c r="G450" s="3966"/>
      <c r="H450" s="3966"/>
      <c r="I450" s="3966"/>
      <c r="J450" s="3966"/>
      <c r="K450" s="3966"/>
      <c r="L450" s="3966"/>
      <c r="M450" s="3966"/>
      <c r="N450" s="3966"/>
      <c r="O450" s="3966"/>
      <c r="P450" s="3966"/>
      <c r="Q450" s="3967"/>
      <c r="U450" s="134"/>
      <c r="V450" s="134"/>
      <c r="W450" s="134"/>
      <c r="X450" s="134"/>
      <c r="Y450" s="134"/>
      <c r="Z450" s="134"/>
      <c r="AA450" s="134"/>
      <c r="AB450" s="134"/>
      <c r="AC450" s="134"/>
      <c r="AD450" s="134"/>
      <c r="AE450" s="441"/>
    </row>
    <row r="451" spans="1:32" ht="12" customHeight="1">
      <c r="B451" s="135" t="s">
        <v>1780</v>
      </c>
      <c r="C451" s="136"/>
      <c r="D451" s="2656"/>
      <c r="E451" s="2656"/>
      <c r="F451" s="2656"/>
      <c r="G451" s="2656"/>
      <c r="H451" s="2656"/>
      <c r="I451" s="2656"/>
      <c r="J451" s="2656"/>
      <c r="K451" s="2656"/>
      <c r="L451" s="2656"/>
      <c r="M451" s="2656"/>
      <c r="N451" s="2656"/>
      <c r="O451" s="2656"/>
      <c r="P451" s="2656"/>
      <c r="Q451" s="2656"/>
    </row>
    <row r="452" spans="1:32" ht="33.6" customHeight="1">
      <c r="A452" s="3972"/>
      <c r="B452" s="3973"/>
      <c r="C452" s="3973"/>
      <c r="D452" s="3973"/>
      <c r="E452" s="3973"/>
      <c r="F452" s="3973"/>
      <c r="G452" s="3973"/>
      <c r="H452" s="3973"/>
      <c r="I452" s="3973"/>
      <c r="J452" s="3973"/>
      <c r="K452" s="3973"/>
      <c r="L452" s="3973"/>
      <c r="M452" s="3973"/>
      <c r="N452" s="3973"/>
      <c r="O452" s="3973"/>
      <c r="P452" s="3973"/>
      <c r="Q452" s="3974"/>
    </row>
    <row r="453" spans="1:32" ht="3" customHeight="1">
      <c r="A453" s="1401"/>
      <c r="B453" s="2673"/>
      <c r="C453" s="2656"/>
      <c r="D453" s="2656"/>
      <c r="E453" s="2656"/>
      <c r="F453" s="2656"/>
      <c r="G453" s="2656"/>
      <c r="H453" s="2656"/>
      <c r="I453" s="2656"/>
      <c r="J453" s="2656"/>
      <c r="K453" s="2656"/>
      <c r="L453" s="2656"/>
      <c r="M453" s="2656"/>
      <c r="Q453" s="782"/>
    </row>
    <row r="454" spans="1:32" ht="14.1" customHeight="1">
      <c r="A454" s="2651" t="s">
        <v>3531</v>
      </c>
      <c r="B454" s="4" t="s">
        <v>2619</v>
      </c>
      <c r="C454" s="4"/>
      <c r="D454" s="86"/>
      <c r="E454" s="2656"/>
      <c r="F454" s="2656"/>
      <c r="G454" s="2656"/>
      <c r="H454" s="2656"/>
      <c r="O454" s="130" t="s">
        <v>1781</v>
      </c>
      <c r="P454" s="3963"/>
      <c r="Q454" s="3964"/>
    </row>
    <row r="455" spans="1:32" ht="14.1" customHeight="1">
      <c r="B455" s="86" t="s">
        <v>4082</v>
      </c>
      <c r="C455" s="4"/>
      <c r="D455" s="86"/>
      <c r="E455" s="2656"/>
      <c r="F455" s="2656"/>
      <c r="G455" s="2656"/>
      <c r="H455" s="2656"/>
    </row>
    <row r="456" spans="1:32" s="131" customFormat="1" ht="21.75" customHeight="1">
      <c r="A456" s="140" t="s">
        <v>1893</v>
      </c>
      <c r="B456" s="4086" t="s">
        <v>3455</v>
      </c>
      <c r="C456" s="4086"/>
      <c r="D456" s="4086"/>
      <c r="E456" s="4086"/>
      <c r="F456" s="4086"/>
      <c r="G456" s="4086"/>
      <c r="H456" s="4086"/>
      <c r="I456" s="4086"/>
      <c r="J456" s="4086"/>
      <c r="K456" s="4086"/>
      <c r="L456" s="4086"/>
      <c r="M456" s="4086"/>
      <c r="N456" s="4086"/>
      <c r="O456" s="159" t="s">
        <v>1893</v>
      </c>
      <c r="P456" s="2502" t="s">
        <v>6927</v>
      </c>
      <c r="Q456" s="2968"/>
      <c r="AE456" s="442"/>
      <c r="AF456" s="442"/>
    </row>
    <row r="457" spans="1:32" s="131" customFormat="1" ht="22.5" customHeight="1">
      <c r="A457" s="140" t="s">
        <v>1895</v>
      </c>
      <c r="B457" s="4086" t="s">
        <v>3454</v>
      </c>
      <c r="C457" s="4086"/>
      <c r="D457" s="4086"/>
      <c r="E457" s="4086"/>
      <c r="F457" s="4086"/>
      <c r="G457" s="4086"/>
      <c r="H457" s="4086"/>
      <c r="I457" s="4086"/>
      <c r="J457" s="4086"/>
      <c r="K457" s="4086"/>
      <c r="L457" s="4086"/>
      <c r="M457" s="4086"/>
      <c r="N457" s="4086"/>
      <c r="O457" s="159" t="s">
        <v>1895</v>
      </c>
      <c r="P457" s="2658" t="s">
        <v>6927</v>
      </c>
      <c r="Q457" s="2961"/>
      <c r="AE457" s="442"/>
      <c r="AF457" s="442"/>
    </row>
    <row r="458" spans="1:32" s="131" customFormat="1" ht="22.5" customHeight="1">
      <c r="B458" s="1305" t="s">
        <v>1658</v>
      </c>
      <c r="C458" s="4086" t="s">
        <v>4048</v>
      </c>
      <c r="D458" s="4086"/>
      <c r="E458" s="4086"/>
      <c r="F458" s="4086"/>
      <c r="G458" s="4086"/>
      <c r="H458" s="4086"/>
      <c r="I458" s="4086"/>
      <c r="J458" s="4086"/>
      <c r="K458" s="4086"/>
      <c r="L458" s="4086"/>
      <c r="M458" s="4086"/>
      <c r="N458" s="4086"/>
      <c r="O458" s="159" t="s">
        <v>1658</v>
      </c>
      <c r="P458" s="2658" t="s">
        <v>6927</v>
      </c>
      <c r="Q458" s="2961"/>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667" t="s">
        <v>6927</v>
      </c>
      <c r="Q459" s="2954"/>
      <c r="AE459" s="50"/>
      <c r="AF459" s="50"/>
    </row>
    <row r="460" spans="1:32" s="131" customFormat="1" ht="33" customHeight="1">
      <c r="B460" s="451" t="s">
        <v>1660</v>
      </c>
      <c r="C460" s="4086" t="s">
        <v>4050</v>
      </c>
      <c r="D460" s="4086"/>
      <c r="E460" s="4086"/>
      <c r="F460" s="4086"/>
      <c r="G460" s="4086"/>
      <c r="H460" s="4086"/>
      <c r="I460" s="4086"/>
      <c r="J460" s="4086"/>
      <c r="K460" s="4086"/>
      <c r="L460" s="4086"/>
      <c r="M460" s="4086"/>
      <c r="N460" s="4086"/>
      <c r="O460" s="159" t="s">
        <v>1660</v>
      </c>
      <c r="P460" s="2658" t="s">
        <v>6927</v>
      </c>
      <c r="Q460" s="2961"/>
      <c r="AE460" s="442"/>
      <c r="AF460" s="442"/>
    </row>
    <row r="461" spans="1:32" s="131" customFormat="1" ht="22.5" customHeight="1">
      <c r="B461" s="451" t="s">
        <v>2260</v>
      </c>
      <c r="C461" s="4086" t="s">
        <v>4051</v>
      </c>
      <c r="D461" s="4086"/>
      <c r="E461" s="4086"/>
      <c r="F461" s="4086"/>
      <c r="G461" s="4086"/>
      <c r="H461" s="4086"/>
      <c r="I461" s="4086"/>
      <c r="J461" s="4086"/>
      <c r="K461" s="4086"/>
      <c r="L461" s="4086"/>
      <c r="M461" s="4086"/>
      <c r="N461" s="4086"/>
      <c r="O461" s="159" t="s">
        <v>2260</v>
      </c>
      <c r="P461" s="2658" t="s">
        <v>6927</v>
      </c>
      <c r="Q461" s="2961"/>
      <c r="AE461" s="442"/>
      <c r="AF461" s="442"/>
    </row>
    <row r="462" spans="1:32" s="131" customFormat="1" ht="22.5" customHeight="1">
      <c r="A462" s="140" t="s">
        <v>719</v>
      </c>
      <c r="B462" s="4086" t="s">
        <v>3456</v>
      </c>
      <c r="C462" s="4086"/>
      <c r="D462" s="4086"/>
      <c r="E462" s="4086"/>
      <c r="F462" s="4086"/>
      <c r="G462" s="4086"/>
      <c r="H462" s="4086"/>
      <c r="I462" s="4086"/>
      <c r="J462" s="4086"/>
      <c r="K462" s="4086"/>
      <c r="L462" s="4086"/>
      <c r="M462" s="4086"/>
      <c r="N462" s="4086"/>
      <c r="O462" s="159" t="s">
        <v>719</v>
      </c>
      <c r="P462" s="2658" t="s">
        <v>6927</v>
      </c>
      <c r="Q462" s="2961"/>
      <c r="AE462" s="442"/>
      <c r="AF462" s="442"/>
    </row>
    <row r="463" spans="1:32" s="131" customFormat="1" ht="22.5" customHeight="1">
      <c r="A463" s="140" t="s">
        <v>2021</v>
      </c>
      <c r="B463" s="4086" t="s">
        <v>4109</v>
      </c>
      <c r="C463" s="4086"/>
      <c r="D463" s="4086"/>
      <c r="E463" s="4086"/>
      <c r="F463" s="4086"/>
      <c r="G463" s="4086"/>
      <c r="H463" s="4086"/>
      <c r="I463" s="4086"/>
      <c r="J463" s="4086"/>
      <c r="K463" s="4086"/>
      <c r="L463" s="4086"/>
      <c r="M463" s="4086"/>
      <c r="N463" s="4086"/>
      <c r="O463" s="159" t="s">
        <v>2021</v>
      </c>
      <c r="P463" s="2658" t="s">
        <v>6927</v>
      </c>
      <c r="Q463" s="2961"/>
      <c r="AE463" s="442"/>
      <c r="AF463" s="442"/>
    </row>
    <row r="464" spans="1:32" s="131" customFormat="1" ht="21.75" customHeight="1">
      <c r="A464" s="140" t="s">
        <v>1656</v>
      </c>
      <c r="B464" s="4086" t="s">
        <v>4110</v>
      </c>
      <c r="C464" s="4086"/>
      <c r="D464" s="4086"/>
      <c r="E464" s="4086"/>
      <c r="F464" s="4086"/>
      <c r="G464" s="4086"/>
      <c r="H464" s="4086"/>
      <c r="I464" s="4086"/>
      <c r="J464" s="4086"/>
      <c r="K464" s="4086"/>
      <c r="L464" s="4086"/>
      <c r="M464" s="4086"/>
      <c r="N464" s="4086"/>
      <c r="O464" s="159" t="s">
        <v>1656</v>
      </c>
      <c r="P464" s="2658" t="s">
        <v>6927</v>
      </c>
      <c r="Q464" s="2961"/>
      <c r="AE464" s="442"/>
      <c r="AF464" s="442"/>
    </row>
    <row r="465" spans="1:32" s="403" customFormat="1" ht="21.75" customHeight="1">
      <c r="A465" s="140" t="s">
        <v>1657</v>
      </c>
      <c r="B465" s="4086" t="s">
        <v>4153</v>
      </c>
      <c r="C465" s="4086"/>
      <c r="D465" s="4086"/>
      <c r="E465" s="4086"/>
      <c r="F465" s="4086"/>
      <c r="G465" s="4086"/>
      <c r="H465" s="4086"/>
      <c r="I465" s="4086"/>
      <c r="J465" s="4086"/>
      <c r="K465" s="4086"/>
      <c r="L465" s="4086"/>
      <c r="M465" s="4086"/>
      <c r="N465" s="4086"/>
      <c r="O465" s="159" t="s">
        <v>1657</v>
      </c>
      <c r="P465" s="2659" t="s">
        <v>6927</v>
      </c>
      <c r="Q465" s="2963"/>
      <c r="AE465" s="444"/>
      <c r="AF465" s="444"/>
    </row>
    <row r="466" spans="1:32" ht="11.25" customHeight="1">
      <c r="B466" s="139" t="s">
        <v>3371</v>
      </c>
      <c r="D466" s="139"/>
      <c r="E466" s="139"/>
      <c r="F466" s="139"/>
      <c r="G466" s="139"/>
      <c r="H466" s="40"/>
      <c r="I466" s="2673"/>
      <c r="J466" s="2673"/>
      <c r="K466" s="2673"/>
      <c r="L466" s="1401"/>
      <c r="M466" s="1401"/>
      <c r="N466" s="1401"/>
      <c r="O466" s="1401"/>
      <c r="P466" s="1401"/>
      <c r="Q466" s="782"/>
    </row>
    <row r="467" spans="1:32" ht="12.75" customHeight="1">
      <c r="A467" s="3965" t="s">
        <v>6962</v>
      </c>
      <c r="B467" s="3966"/>
      <c r="C467" s="3966"/>
      <c r="D467" s="3966"/>
      <c r="E467" s="3966"/>
      <c r="F467" s="3966"/>
      <c r="G467" s="3966"/>
      <c r="H467" s="3966"/>
      <c r="I467" s="3966"/>
      <c r="J467" s="3966"/>
      <c r="K467" s="3966"/>
      <c r="L467" s="3966"/>
      <c r="M467" s="3966"/>
      <c r="N467" s="3966"/>
      <c r="O467" s="3966"/>
      <c r="P467" s="3966"/>
      <c r="Q467" s="3967"/>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6"/>
      <c r="E468" s="2656"/>
      <c r="F468" s="2656"/>
      <c r="G468" s="2656"/>
      <c r="H468" s="2656"/>
      <c r="I468" s="2656"/>
      <c r="J468" s="2656"/>
      <c r="K468" s="2656"/>
      <c r="L468" s="2656"/>
      <c r="M468" s="2656"/>
      <c r="N468" s="2656"/>
      <c r="O468" s="2656"/>
      <c r="P468" s="2656"/>
      <c r="Q468" s="2656"/>
    </row>
    <row r="469" spans="1:32" ht="12.75" customHeight="1">
      <c r="A469" s="3972"/>
      <c r="B469" s="3973"/>
      <c r="C469" s="3973"/>
      <c r="D469" s="3973"/>
      <c r="E469" s="3973"/>
      <c r="F469" s="3973"/>
      <c r="G469" s="3973"/>
      <c r="H469" s="3973"/>
      <c r="I469" s="3973"/>
      <c r="J469" s="3973"/>
      <c r="K469" s="3973"/>
      <c r="L469" s="3973"/>
      <c r="M469" s="3973"/>
      <c r="N469" s="3973"/>
      <c r="O469" s="3973"/>
      <c r="P469" s="3973"/>
      <c r="Q469" s="3974"/>
    </row>
    <row r="470" spans="1:32" ht="3" customHeight="1">
      <c r="A470" s="1401"/>
      <c r="B470" s="2673"/>
      <c r="C470" s="2656"/>
      <c r="D470" s="2656"/>
      <c r="E470" s="2656"/>
      <c r="F470" s="2656"/>
      <c r="G470" s="2656"/>
      <c r="H470" s="2656"/>
      <c r="I470" s="2656"/>
      <c r="J470" s="2656"/>
      <c r="K470" s="2656"/>
      <c r="L470" s="2656"/>
      <c r="M470" s="2656"/>
      <c r="Q470" s="782"/>
    </row>
    <row r="471" spans="1:32" ht="14.1" customHeight="1">
      <c r="A471" s="2651" t="s">
        <v>3966</v>
      </c>
      <c r="B471" s="4"/>
      <c r="C471" s="4" t="s">
        <v>2525</v>
      </c>
      <c r="D471" s="86"/>
      <c r="E471" s="2656"/>
      <c r="F471" s="2656"/>
      <c r="G471" s="2656"/>
      <c r="H471" s="2656"/>
      <c r="J471" s="2656"/>
      <c r="K471" s="2656"/>
      <c r="L471" s="2656"/>
      <c r="M471" s="2656"/>
      <c r="O471" s="130" t="s">
        <v>1781</v>
      </c>
      <c r="P471" s="3963"/>
      <c r="Q471" s="3964"/>
    </row>
    <row r="472" spans="1:32" ht="11.25" customHeight="1">
      <c r="A472" s="2651"/>
      <c r="B472" s="139" t="s">
        <v>3371</v>
      </c>
      <c r="D472" s="139"/>
      <c r="E472" s="139"/>
      <c r="F472" s="139"/>
      <c r="G472" s="139"/>
      <c r="H472" s="40"/>
      <c r="I472" s="2673"/>
      <c r="J472" s="2673"/>
      <c r="K472" s="2673"/>
      <c r="L472" s="1401"/>
      <c r="M472" s="1401"/>
      <c r="N472" s="1401"/>
      <c r="O472" s="1401"/>
      <c r="P472" s="1401"/>
      <c r="Q472" s="782"/>
    </row>
    <row r="473" spans="1:32" ht="12" customHeight="1">
      <c r="A473" s="3965" t="s">
        <v>6963</v>
      </c>
      <c r="B473" s="3966"/>
      <c r="C473" s="3966"/>
      <c r="D473" s="3966"/>
      <c r="E473" s="3966"/>
      <c r="F473" s="3966"/>
      <c r="G473" s="3966"/>
      <c r="H473" s="3966"/>
      <c r="I473" s="3966"/>
      <c r="J473" s="3966"/>
      <c r="K473" s="3966"/>
      <c r="L473" s="3966"/>
      <c r="M473" s="3966"/>
      <c r="N473" s="3966"/>
      <c r="O473" s="3966"/>
      <c r="P473" s="3966"/>
      <c r="Q473" s="3967"/>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6"/>
      <c r="E474" s="2656"/>
      <c r="F474" s="2656"/>
      <c r="G474" s="2656"/>
      <c r="H474" s="2656"/>
      <c r="I474" s="2656"/>
      <c r="J474" s="2656"/>
      <c r="K474" s="2656"/>
      <c r="L474" s="2656"/>
      <c r="M474" s="2656"/>
      <c r="N474" s="2656"/>
      <c r="O474" s="2656"/>
      <c r="P474" s="2656"/>
      <c r="Q474" s="2656"/>
    </row>
    <row r="475" spans="1:32" ht="12" customHeight="1">
      <c r="A475" s="3972"/>
      <c r="B475" s="3973"/>
      <c r="C475" s="3973"/>
      <c r="D475" s="3973"/>
      <c r="E475" s="3973"/>
      <c r="F475" s="3973"/>
      <c r="G475" s="3973"/>
      <c r="H475" s="3973"/>
      <c r="I475" s="3973"/>
      <c r="J475" s="3973"/>
      <c r="K475" s="3973"/>
      <c r="L475" s="3973"/>
      <c r="M475" s="3973"/>
      <c r="N475" s="3973"/>
      <c r="O475" s="3973"/>
      <c r="P475" s="3973"/>
      <c r="Q475" s="3974"/>
    </row>
    <row r="476" spans="1:32" ht="3" customHeight="1">
      <c r="A476" s="1401"/>
      <c r="B476" s="2673"/>
      <c r="C476" s="2656"/>
      <c r="D476" s="2656"/>
      <c r="E476" s="2656"/>
      <c r="F476" s="2656"/>
      <c r="G476" s="2656"/>
      <c r="H476" s="2656"/>
      <c r="I476" s="2656"/>
      <c r="J476" s="2656"/>
      <c r="K476" s="2656"/>
      <c r="L476" s="2656"/>
      <c r="M476" s="2656"/>
      <c r="N476" s="2656"/>
      <c r="O476" s="2656"/>
      <c r="P476" s="2656"/>
      <c r="Q476" s="1401"/>
    </row>
    <row r="477" spans="1:32" ht="3" customHeight="1">
      <c r="A477" s="1401"/>
      <c r="B477" s="2673"/>
      <c r="C477" s="2656"/>
      <c r="D477" s="2656"/>
      <c r="E477" s="2656"/>
      <c r="F477" s="2656"/>
      <c r="G477" s="2656"/>
      <c r="H477" s="2656"/>
      <c r="I477" s="2656"/>
      <c r="J477" s="2656"/>
      <c r="K477" s="2656"/>
      <c r="L477" s="2656"/>
      <c r="M477" s="2656"/>
      <c r="N477" s="2656"/>
      <c r="O477" s="2656"/>
      <c r="P477" s="2656"/>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6460</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6461</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4030</v>
      </c>
      <c r="R534" s="55"/>
      <c r="AE534" s="915"/>
      <c r="AF534" s="915"/>
    </row>
    <row r="535" spans="1:32" s="912" customFormat="1" ht="11.25">
      <c r="A535" s="55"/>
      <c r="B535" s="55"/>
      <c r="C535" s="912" t="s">
        <v>2425</v>
      </c>
      <c r="M535" s="912" t="s">
        <v>4061</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4031</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2100</v>
      </c>
      <c r="M539" s="1827" t="s">
        <v>4091</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cELa0l7ulS8PxV1ckVHWUgiOWKGqdjif44jGI/i4mlzaa4T2X0QgjcMe2mcQ5vvYheQ7b41ljOBYGW+lJkeRcA==" saltValue="mppvzNdZC4+JTq0m48ibQ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593" t="str">
        <f>CONCATENATE("PART NINE - SCORING CRITERIA","  -  ",'Part I-Project Information'!$O$7," ",'Part I-Project Information'!$F$35,", ",'Part I-Project Information'!F39,", ",'Part I-Project Information'!J40," County")</f>
        <v>PART NINE - SCORING CRITERIA  -  2021-041 Hunters Haven, Flemington, Liberty County</v>
      </c>
      <c r="B1" s="3594"/>
      <c r="C1" s="3594"/>
      <c r="D1" s="3594"/>
      <c r="E1" s="3594"/>
      <c r="F1" s="3594"/>
      <c r="G1" s="3594"/>
      <c r="H1" s="3594"/>
      <c r="I1" s="3594"/>
      <c r="J1" s="3594"/>
      <c r="K1" s="3594"/>
      <c r="L1" s="3594"/>
      <c r="M1" s="3594"/>
      <c r="N1" s="3594"/>
      <c r="O1" s="3594"/>
      <c r="P1" s="3595"/>
      <c r="Q1" s="1302"/>
      <c r="R1" s="1302"/>
      <c r="S1" s="1302"/>
    </row>
    <row r="2" spans="1:22" s="35" customFormat="1" ht="4.3499999999999996" customHeight="1">
      <c r="A2" s="36"/>
      <c r="B2" s="36"/>
      <c r="C2" s="37"/>
      <c r="D2" s="36"/>
      <c r="E2" s="36"/>
      <c r="F2" s="36"/>
      <c r="G2" s="36"/>
      <c r="H2" s="36"/>
      <c r="I2" s="36"/>
      <c r="J2" s="36"/>
      <c r="K2" s="36"/>
      <c r="L2" s="36"/>
      <c r="M2" s="38"/>
      <c r="N2" s="72"/>
      <c r="O2" s="2649"/>
      <c r="P2" s="2649"/>
      <c r="Q2" s="1302"/>
      <c r="R2" s="1302"/>
      <c r="S2" s="1302"/>
    </row>
    <row r="3" spans="1:22" s="42" customFormat="1" ht="12" customHeight="1">
      <c r="A3" s="4329" t="s">
        <v>4017</v>
      </c>
      <c r="B3" s="4329"/>
      <c r="C3" s="4329"/>
      <c r="D3" s="4329"/>
      <c r="E3" s="4329"/>
      <c r="F3" s="4329"/>
      <c r="G3" s="4329"/>
      <c r="H3" s="4329"/>
      <c r="I3" s="4329"/>
      <c r="J3" s="4329"/>
      <c r="K3" s="4329"/>
      <c r="L3" s="4329"/>
      <c r="M3" s="767"/>
      <c r="N3" s="73"/>
      <c r="O3" s="83" t="s">
        <v>2117</v>
      </c>
      <c r="P3" s="984" t="s">
        <v>245</v>
      </c>
      <c r="Q3" s="1302"/>
      <c r="R3" s="1302"/>
      <c r="S3" s="1302"/>
    </row>
    <row r="4" spans="1:22" s="44" customFormat="1" ht="12" customHeight="1">
      <c r="A4" s="4329"/>
      <c r="B4" s="4329"/>
      <c r="C4" s="4329"/>
      <c r="D4" s="4329"/>
      <c r="E4" s="4329"/>
      <c r="F4" s="4329"/>
      <c r="G4" s="4329"/>
      <c r="H4" s="4329"/>
      <c r="I4" s="4329"/>
      <c r="J4" s="4329"/>
      <c r="K4" s="4329"/>
      <c r="L4" s="4329"/>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56" t="str">
        <f>'Part I-Project Information'!$B$7</f>
        <v>2021 Core Application</v>
      </c>
      <c r="C6" s="4356"/>
      <c r="D6" s="4356"/>
      <c r="E6" s="4356"/>
      <c r="F6" s="4356"/>
      <c r="G6" s="445"/>
      <c r="H6" s="42"/>
      <c r="I6" s="42"/>
      <c r="J6" s="42"/>
      <c r="L6" s="69" t="s">
        <v>1180</v>
      </c>
      <c r="M6" s="3"/>
      <c r="N6" s="9"/>
      <c r="O6" s="1686">
        <f>O401</f>
        <v>65.5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57" t="s">
        <v>6316</v>
      </c>
      <c r="B8" s="4357"/>
      <c r="C8" s="4357"/>
      <c r="D8" s="3971" t="s">
        <v>6317</v>
      </c>
      <c r="E8" s="3971"/>
      <c r="F8" s="3971"/>
      <c r="G8" s="3971"/>
      <c r="H8" s="3971"/>
      <c r="I8" s="3971"/>
      <c r="J8" s="3971"/>
      <c r="K8" s="3971"/>
      <c r="L8" s="3971"/>
      <c r="M8" s="3971"/>
      <c r="O8" s="2520">
        <v>0</v>
      </c>
      <c r="P8" s="2982"/>
      <c r="Q8" s="36" t="s">
        <v>6353</v>
      </c>
      <c r="R8" s="429"/>
      <c r="S8" s="156"/>
    </row>
    <row r="9" spans="1:22" s="42" customFormat="1" ht="12" customHeight="1">
      <c r="A9" s="4357"/>
      <c r="B9" s="4357"/>
      <c r="C9" s="4357"/>
      <c r="D9" s="3971"/>
      <c r="E9" s="3971"/>
      <c r="F9" s="3971"/>
      <c r="G9" s="3971"/>
      <c r="H9" s="3971"/>
      <c r="I9" s="3971"/>
      <c r="J9" s="3971"/>
      <c r="K9" s="3971"/>
      <c r="L9" s="3971"/>
      <c r="M9" s="3971"/>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80" t="s">
        <v>6352</v>
      </c>
      <c r="C11" s="4281"/>
      <c r="D11" s="4281"/>
      <c r="E11" s="4281"/>
      <c r="F11" s="4281"/>
      <c r="G11" s="4281"/>
      <c r="H11" s="4281"/>
      <c r="I11" s="4281"/>
      <c r="J11" s="4281"/>
      <c r="K11" s="4281"/>
      <c r="L11" s="4281"/>
      <c r="M11" s="4281"/>
      <c r="N11" s="4281"/>
      <c r="O11" s="4281"/>
      <c r="P11" s="4282"/>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6369</v>
      </c>
      <c r="D14" s="52"/>
      <c r="E14" s="52"/>
      <c r="F14" s="52"/>
      <c r="G14" s="66"/>
      <c r="H14" s="170" t="s">
        <v>4006</v>
      </c>
      <c r="I14" s="66"/>
      <c r="J14" s="66"/>
      <c r="K14" s="66"/>
      <c r="L14" s="66"/>
      <c r="M14" s="1265" t="s">
        <v>4005</v>
      </c>
      <c r="N14" s="66"/>
      <c r="O14" s="2520">
        <v>0</v>
      </c>
      <c r="P14" s="126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3" t="s">
        <v>6827</v>
      </c>
      <c r="G16" s="4353"/>
      <c r="H16" s="4353"/>
      <c r="I16" s="4353"/>
      <c r="J16" s="4353"/>
      <c r="K16" s="4353"/>
      <c r="L16" s="4353"/>
      <c r="M16" s="4353"/>
      <c r="N16" s="4353"/>
      <c r="O16" s="1287" t="s">
        <v>3973</v>
      </c>
      <c r="P16" s="1288">
        <f>SUM(P17:P29)</f>
        <v>0</v>
      </c>
      <c r="Q16" s="4385" t="s">
        <v>4068</v>
      </c>
      <c r="R16" s="4385"/>
      <c r="S16" s="4385"/>
      <c r="T16" s="4385"/>
      <c r="U16" s="4385"/>
      <c r="V16" s="4385"/>
    </row>
    <row r="17" spans="1:33" s="42" customFormat="1" ht="10.5" customHeight="1">
      <c r="A17" s="993" t="s">
        <v>1713</v>
      </c>
      <c r="B17" s="990" t="s">
        <v>3546</v>
      </c>
      <c r="C17" s="991"/>
      <c r="D17" s="992"/>
      <c r="E17" s="1281">
        <f>$O$98</f>
        <v>20</v>
      </c>
      <c r="F17" s="4354" t="str">
        <f>$A$104</f>
        <v xml:space="preserve">The development has twelve (12) desirable activities within 1.5 miles from the site entrance (per Google Maps). Seven (7) of these activities are within .5 miles walking distance from the proposed site entrance. </v>
      </c>
      <c r="G17" s="4355"/>
      <c r="H17" s="4355"/>
      <c r="I17" s="4355"/>
      <c r="J17" s="4355"/>
      <c r="K17" s="4355"/>
      <c r="L17" s="4355"/>
      <c r="M17" s="4355"/>
      <c r="N17" s="4355"/>
      <c r="O17" s="4355"/>
      <c r="P17" s="2983"/>
      <c r="Q17" s="4385"/>
      <c r="R17" s="4385"/>
      <c r="S17" s="4385"/>
      <c r="T17" s="4385"/>
      <c r="U17" s="4385"/>
      <c r="V17" s="4385"/>
    </row>
    <row r="18" spans="1:33" s="42" customFormat="1" ht="10.5" customHeight="1">
      <c r="A18" s="993" t="s">
        <v>505</v>
      </c>
      <c r="B18" s="841" t="s">
        <v>4242</v>
      </c>
      <c r="C18" s="942"/>
      <c r="D18" s="994"/>
      <c r="E18" s="1282">
        <f>$O$108</f>
        <v>3</v>
      </c>
      <c r="F18" s="4300" t="str">
        <f>$A$142</f>
        <v>The development is located within a .25 mile walking distance to an established transit stop that runs Monday-Friday 8 AM to 5 PM. The stop is labled as "Walmart East 84" on the red line, which has 8 stops per day. This service is publized for the general public, and is therefore available to all residents. The Liberty Transit link above links to the electronic flyer that shows all schedules and routes for all of the Liberty Transit's routes.</v>
      </c>
      <c r="G18" s="4301"/>
      <c r="H18" s="4301"/>
      <c r="I18" s="4301"/>
      <c r="J18" s="4301"/>
      <c r="K18" s="4301"/>
      <c r="L18" s="4301"/>
      <c r="M18" s="4301"/>
      <c r="N18" s="4301"/>
      <c r="O18" s="4302"/>
      <c r="P18" s="2984"/>
      <c r="Q18" s="4403" t="str">
        <f>IF(OR($A$104="",$A$142="",$A$159="",$A$180="",$A$195="",$A$215="",$A$233="",$A$243="",$A$252="",$A$290="",$A$326="",$A$346="",$A$375=""),"Some Applicant Scoring Justification boxes are empty! Check to see if points claimed.","")</f>
        <v/>
      </c>
      <c r="R18" s="4404"/>
      <c r="S18" s="4404"/>
    </row>
    <row r="19" spans="1:33" s="42" customFormat="1" ht="10.5" customHeight="1">
      <c r="A19" s="993" t="s">
        <v>742</v>
      </c>
      <c r="B19" s="841" t="s">
        <v>3485</v>
      </c>
      <c r="C19" s="942"/>
      <c r="D19" s="994"/>
      <c r="E19" s="1282">
        <f>$O$147</f>
        <v>1.5</v>
      </c>
      <c r="F19" s="4300" t="str">
        <f>$A$159</f>
        <v>The development has 3 grades above the CCRPI average which would qualify for 1 point, but also has a total of 8 grades with BTO designation since 2018 which qualifiies for a final score of 1.5 points.</v>
      </c>
      <c r="G19" s="4301"/>
      <c r="H19" s="4301"/>
      <c r="I19" s="4301"/>
      <c r="J19" s="4301"/>
      <c r="K19" s="4301"/>
      <c r="L19" s="4301"/>
      <c r="M19" s="4301"/>
      <c r="N19" s="4301"/>
      <c r="O19" s="4302"/>
      <c r="P19" s="2984"/>
      <c r="Q19" s="4403"/>
      <c r="R19" s="4404"/>
      <c r="S19" s="4404"/>
    </row>
    <row r="20" spans="1:33" s="42" customFormat="1" ht="10.5" customHeight="1">
      <c r="A20" s="1685" t="s">
        <v>281</v>
      </c>
      <c r="B20" s="841" t="s">
        <v>3547</v>
      </c>
      <c r="C20" s="942"/>
      <c r="D20" s="994"/>
      <c r="E20" s="1283">
        <f>$O$163</f>
        <v>0</v>
      </c>
      <c r="F20" s="4300" t="str">
        <f>$A$180</f>
        <v>NA</v>
      </c>
      <c r="G20" s="4301"/>
      <c r="H20" s="4301"/>
      <c r="I20" s="4301"/>
      <c r="J20" s="4301"/>
      <c r="K20" s="4301"/>
      <c r="L20" s="4301"/>
      <c r="M20" s="4301"/>
      <c r="N20" s="4301"/>
      <c r="O20" s="4302"/>
      <c r="P20" s="2984"/>
      <c r="Q20" s="4403"/>
      <c r="R20" s="4404"/>
      <c r="S20" s="4404"/>
    </row>
    <row r="21" spans="1:33" s="42" customFormat="1" ht="10.5" customHeight="1">
      <c r="A21" s="993" t="s">
        <v>407</v>
      </c>
      <c r="B21" s="1000" t="s">
        <v>3548</v>
      </c>
      <c r="C21" s="1001"/>
      <c r="D21" s="1002"/>
      <c r="E21" s="1284" t="s">
        <v>1654</v>
      </c>
      <c r="F21" s="4361" t="str">
        <f>$A$195</f>
        <v>NA</v>
      </c>
      <c r="G21" s="4362"/>
      <c r="H21" s="4362"/>
      <c r="I21" s="4362"/>
      <c r="J21" s="4362"/>
      <c r="K21" s="4362"/>
      <c r="L21" s="4362"/>
      <c r="M21" s="4362"/>
      <c r="N21" s="4362"/>
      <c r="O21" s="4363"/>
      <c r="P21" s="2984"/>
      <c r="Q21" s="4403"/>
      <c r="R21" s="4404"/>
      <c r="S21" s="4404"/>
    </row>
    <row r="22" spans="1:33" s="42" customFormat="1" ht="10.5" customHeight="1">
      <c r="A22" s="993" t="s">
        <v>346</v>
      </c>
      <c r="B22" s="841" t="s">
        <v>4243</v>
      </c>
      <c r="C22" s="942"/>
      <c r="D22" s="994"/>
      <c r="E22" s="1282">
        <f>$O$199</f>
        <v>5</v>
      </c>
      <c r="F22" s="4300" t="str">
        <f>$A$215</f>
        <v xml:space="preserve">The development's census tract, 103.00, is below the 15% povery level for Metro sites which qualifies for 3 poitnts. Additionally, both Life Expectancy and Health Insurance Rates are above the 60th percentile which qualifies for an additional 2 points. </v>
      </c>
      <c r="G22" s="4301"/>
      <c r="H22" s="4301"/>
      <c r="I22" s="4301"/>
      <c r="J22" s="4301"/>
      <c r="K22" s="4301"/>
      <c r="L22" s="4301"/>
      <c r="M22" s="4301"/>
      <c r="N22" s="4301"/>
      <c r="O22" s="4302"/>
      <c r="P22" s="2984"/>
      <c r="Q22" s="4403"/>
      <c r="R22" s="4404"/>
      <c r="S22" s="4404"/>
    </row>
    <row r="23" spans="1:33" s="42" customFormat="1" ht="10.5" customHeight="1">
      <c r="A23" s="993" t="s">
        <v>4245</v>
      </c>
      <c r="B23" s="841" t="s">
        <v>3395</v>
      </c>
      <c r="C23" s="942"/>
      <c r="D23" s="994"/>
      <c r="E23" s="1282">
        <f>$O$228</f>
        <v>0</v>
      </c>
      <c r="F23" s="4300" t="str">
        <f>$A$233</f>
        <v>NA</v>
      </c>
      <c r="G23" s="4301"/>
      <c r="H23" s="4301"/>
      <c r="I23" s="4301"/>
      <c r="J23" s="4301"/>
      <c r="K23" s="4301"/>
      <c r="L23" s="4301"/>
      <c r="M23" s="4301"/>
      <c r="N23" s="4301"/>
      <c r="O23" s="4302"/>
      <c r="P23" s="2984"/>
      <c r="Q23" s="4403"/>
      <c r="R23" s="4404"/>
      <c r="S23" s="4404"/>
    </row>
    <row r="24" spans="1:33" s="42" customFormat="1" ht="10.5" customHeight="1">
      <c r="A24" s="993" t="s">
        <v>4257</v>
      </c>
      <c r="B24" s="841" t="s">
        <v>4246</v>
      </c>
      <c r="C24" s="942"/>
      <c r="D24" s="994"/>
      <c r="E24" s="1284">
        <f>$O$237</f>
        <v>0</v>
      </c>
      <c r="F24" s="4300" t="str">
        <f>$A$243</f>
        <v>NA</v>
      </c>
      <c r="G24" s="4301"/>
      <c r="H24" s="4301"/>
      <c r="I24" s="4301"/>
      <c r="J24" s="4301"/>
      <c r="K24" s="4301"/>
      <c r="L24" s="4301"/>
      <c r="M24" s="4301"/>
      <c r="N24" s="4301"/>
      <c r="O24" s="4302"/>
      <c r="P24" s="2984"/>
      <c r="Q24" s="4403"/>
      <c r="R24" s="4404"/>
      <c r="S24" s="4404"/>
    </row>
    <row r="25" spans="1:33" s="42" customFormat="1" ht="10.5" customHeight="1">
      <c r="A25" s="1685" t="s">
        <v>6531</v>
      </c>
      <c r="B25" s="841" t="s">
        <v>4247</v>
      </c>
      <c r="C25" s="942"/>
      <c r="D25" s="994"/>
      <c r="E25" s="1282">
        <f>$O$247</f>
        <v>5</v>
      </c>
      <c r="F25" s="4398" t="str">
        <f>$A$252</f>
        <v xml:space="preserve">Per the DCA Interactive Map of previous awards provided in tab #35, no 9% awards have taken place in the past 15 years within The City of Flemington. </v>
      </c>
      <c r="G25" s="4399"/>
      <c r="H25" s="4399"/>
      <c r="I25" s="4399"/>
      <c r="J25" s="4399"/>
      <c r="K25" s="4399"/>
      <c r="L25" s="4399"/>
      <c r="M25" s="4399"/>
      <c r="N25" s="4399"/>
      <c r="O25" s="4400"/>
      <c r="P25" s="2984"/>
      <c r="Q25" s="4403"/>
      <c r="R25" s="4404"/>
      <c r="S25" s="4404"/>
    </row>
    <row r="26" spans="1:33" s="42" customFormat="1" ht="10.5" customHeight="1">
      <c r="A26" s="999" t="s">
        <v>3521</v>
      </c>
      <c r="B26" s="1000" t="s">
        <v>3549</v>
      </c>
      <c r="C26" s="1001"/>
      <c r="D26" s="1002"/>
      <c r="E26" s="1285">
        <f>$O$286</f>
        <v>2</v>
      </c>
      <c r="F26" s="4300" t="str">
        <f>$A$290</f>
        <v xml:space="preserve">Project received a GICH letter from Libery County GICH's chairman, Georgia Holliday. We also received a letter of supprt from the Mayor of Flemmington. Both letters are provided within the application. </v>
      </c>
      <c r="G26" s="4301"/>
      <c r="H26" s="4301"/>
      <c r="I26" s="4301"/>
      <c r="J26" s="4301"/>
      <c r="K26" s="4301"/>
      <c r="L26" s="4301"/>
      <c r="M26" s="4301"/>
      <c r="N26" s="4301"/>
      <c r="O26" s="4302"/>
      <c r="P26" s="2984"/>
      <c r="Q26" s="4403"/>
      <c r="R26" s="4404"/>
      <c r="S26" s="4404"/>
    </row>
    <row r="27" spans="1:33" s="42" customFormat="1" ht="10.5" customHeight="1">
      <c r="A27" s="993" t="s">
        <v>3519</v>
      </c>
      <c r="B27" s="841" t="s">
        <v>3550</v>
      </c>
      <c r="C27" s="942"/>
      <c r="D27" s="994"/>
      <c r="E27" s="1282">
        <f>$O$294</f>
        <v>0</v>
      </c>
      <c r="F27" s="4300" t="str">
        <f>$A$326</f>
        <v>NA</v>
      </c>
      <c r="G27" s="4301"/>
      <c r="H27" s="4301"/>
      <c r="I27" s="4301"/>
      <c r="J27" s="4301"/>
      <c r="K27" s="4301"/>
      <c r="L27" s="4301"/>
      <c r="M27" s="4301"/>
      <c r="N27" s="4301"/>
      <c r="O27" s="4302"/>
      <c r="P27" s="2984"/>
      <c r="Q27" s="4403"/>
      <c r="R27" s="4404"/>
      <c r="S27" s="4404"/>
    </row>
    <row r="28" spans="1:33" s="42" customFormat="1" ht="10.5" customHeight="1">
      <c r="A28" s="993" t="s">
        <v>3519</v>
      </c>
      <c r="B28" s="841" t="s">
        <v>3551</v>
      </c>
      <c r="C28" s="942"/>
      <c r="D28" s="994"/>
      <c r="E28" s="1284">
        <f>$O$330</f>
        <v>0</v>
      </c>
      <c r="F28" s="4300" t="str">
        <f>$A$346</f>
        <v>NA</v>
      </c>
      <c r="G28" s="4301"/>
      <c r="H28" s="4301"/>
      <c r="I28" s="4301"/>
      <c r="J28" s="4301"/>
      <c r="K28" s="4301"/>
      <c r="L28" s="4301"/>
      <c r="M28" s="4301"/>
      <c r="N28" s="4301"/>
      <c r="O28" s="4302"/>
      <c r="P28" s="2984"/>
      <c r="Q28" s="4403"/>
      <c r="R28" s="4404"/>
      <c r="S28" s="4404"/>
    </row>
    <row r="29" spans="1:33" s="42" customFormat="1" ht="10.5" customHeight="1">
      <c r="A29" s="995" t="s">
        <v>3526</v>
      </c>
      <c r="B29" s="996" t="s">
        <v>6362</v>
      </c>
      <c r="C29" s="997"/>
      <c r="D29" s="998"/>
      <c r="E29" s="1709">
        <f>$O$358</f>
        <v>2</v>
      </c>
      <c r="F29" s="4350" t="str">
        <f>$A$375</f>
        <v xml:space="preserve">The development commits to signing an annual MOU with DCA. The project's management company will help faciliate this MOU with DCA. The project is a Family project, and contains the required 20% of units to set aside per the requirements of this section. The application includes a completed DCA Housing Assistance Competitive Ranking form with supporting documentation demonstrating why this development fits the criteria for these points. </v>
      </c>
      <c r="G29" s="4351"/>
      <c r="H29" s="4351"/>
      <c r="I29" s="4351"/>
      <c r="J29" s="4351"/>
      <c r="K29" s="4351"/>
      <c r="L29" s="4351"/>
      <c r="M29" s="4351"/>
      <c r="N29" s="4351"/>
      <c r="O29" s="4352"/>
      <c r="P29" s="2985"/>
      <c r="Q29" s="4403"/>
      <c r="R29" s="4404"/>
      <c r="S29" s="4404"/>
    </row>
    <row r="30" spans="1:33" s="157" customFormat="1" ht="5.25" customHeight="1">
      <c r="C30" s="89"/>
      <c r="D30" s="89"/>
      <c r="E30" s="89"/>
      <c r="F30" s="89"/>
      <c r="G30" s="1584"/>
      <c r="H30" s="1612"/>
      <c r="I30" s="1612"/>
      <c r="J30" s="1612"/>
      <c r="K30" s="1612"/>
    </row>
    <row r="31" spans="1:33" s="157" customFormat="1" ht="12.75" customHeight="1">
      <c r="A31" s="151" t="s">
        <v>710</v>
      </c>
      <c r="B31" s="105" t="s">
        <v>6370</v>
      </c>
      <c r="C31" s="101"/>
      <c r="D31" s="89"/>
      <c r="E31" s="89"/>
      <c r="F31" s="89"/>
      <c r="G31" s="4360" t="s">
        <v>6354</v>
      </c>
      <c r="H31" s="4360"/>
      <c r="I31" s="4360" t="s">
        <v>932</v>
      </c>
      <c r="J31" s="4360"/>
      <c r="K31" s="2670" t="s">
        <v>6355</v>
      </c>
      <c r="L31" s="1613"/>
      <c r="M31" s="4373" t="s">
        <v>6371</v>
      </c>
      <c r="N31" s="4373"/>
      <c r="O31" s="4373"/>
      <c r="P31" s="4373"/>
      <c r="Q31" s="1618"/>
      <c r="R31" s="1618"/>
      <c r="S31" s="2521" t="s">
        <v>6370</v>
      </c>
      <c r="T31" s="1618"/>
      <c r="U31" s="1618"/>
      <c r="V31" s="1618"/>
      <c r="X31" s="4170" t="s">
        <v>6354</v>
      </c>
      <c r="Y31" s="4171"/>
      <c r="Z31" s="4170" t="s">
        <v>932</v>
      </c>
      <c r="AA31" s="4171"/>
      <c r="AB31" s="2522" t="s">
        <v>6355</v>
      </c>
      <c r="AC31" s="4172" t="s">
        <v>6354</v>
      </c>
      <c r="AD31" s="4173"/>
      <c r="AE31" s="4172" t="s">
        <v>932</v>
      </c>
      <c r="AF31" s="4173"/>
      <c r="AG31" s="2523" t="s">
        <v>6355</v>
      </c>
    </row>
    <row r="32" spans="1:33" s="157" customFormat="1" ht="11.25" customHeight="1">
      <c r="A32" s="418"/>
      <c r="B32" s="463"/>
      <c r="C32" s="404"/>
      <c r="D32" s="404"/>
      <c r="E32" s="404"/>
      <c r="F32" s="404"/>
      <c r="G32" s="2524">
        <v>0.09</v>
      </c>
      <c r="H32" s="2524">
        <v>0.04</v>
      </c>
      <c r="I32" s="2524">
        <v>0.09</v>
      </c>
      <c r="J32" s="2524">
        <v>0.04</v>
      </c>
      <c r="K32" s="2524">
        <v>0.09</v>
      </c>
      <c r="L32" s="1613"/>
      <c r="M32" s="4304" t="str">
        <f>'Part I-Project Information'!F12</f>
        <v>9% Credit Competitive Round only</v>
      </c>
      <c r="N32" s="4305"/>
      <c r="O32" s="4305"/>
      <c r="P32" s="4306"/>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6356</v>
      </c>
      <c r="C33" s="1790"/>
      <c r="D33" s="1791"/>
      <c r="E33" s="1791"/>
      <c r="F33" s="1791"/>
      <c r="G33" s="2526">
        <v>10</v>
      </c>
      <c r="H33" s="2527"/>
      <c r="I33" s="2526">
        <v>10</v>
      </c>
      <c r="J33" s="2527"/>
      <c r="K33" s="2528">
        <v>10</v>
      </c>
      <c r="L33" s="1613"/>
      <c r="M33" s="1799" t="s">
        <v>6372</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6356</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6357</v>
      </c>
      <c r="C34" s="1792"/>
      <c r="D34" s="1793"/>
      <c r="E34" s="1793"/>
      <c r="F34" s="1793"/>
      <c r="G34" s="2537">
        <v>3</v>
      </c>
      <c r="H34" s="2538">
        <v>3</v>
      </c>
      <c r="I34" s="2537">
        <v>3</v>
      </c>
      <c r="J34" s="2538">
        <v>3</v>
      </c>
      <c r="K34" s="2539"/>
      <c r="L34" s="1613"/>
      <c r="M34" s="4374" t="s">
        <v>6376</v>
      </c>
      <c r="N34" s="4374"/>
      <c r="O34" s="4374"/>
      <c r="P34" s="4374"/>
      <c r="Q34" s="1613"/>
      <c r="R34" s="1615" t="s">
        <v>1711</v>
      </c>
      <c r="S34" s="2536" t="s">
        <v>6357</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6380</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4242</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6381</v>
      </c>
      <c r="N37" s="1699"/>
      <c r="O37" s="1700"/>
      <c r="P37" s="1802" t="str">
        <f>IF('Part I-Project Information'!$P$100="","",'Part I-Project Information'!$P$100)</f>
        <v>No</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303" t="s">
        <v>6537</v>
      </c>
      <c r="N40" s="4303"/>
      <c r="O40" s="481"/>
      <c r="P40" s="1804" t="str">
        <f>IF('Part I-Project Information'!$P$101="","",'Part I-Project Information'!$P$101)</f>
        <v>No</v>
      </c>
      <c r="Q40" s="1613"/>
      <c r="R40" s="1615" t="s">
        <v>346</v>
      </c>
      <c r="S40" s="2536" t="s">
        <v>4243</v>
      </c>
      <c r="T40" s="1794"/>
      <c r="U40" s="1795"/>
      <c r="V40" s="1795"/>
      <c r="W40" s="1795"/>
      <c r="X40" s="2540">
        <f>O199</f>
        <v>5</v>
      </c>
      <c r="Y40" s="2541">
        <f>O199</f>
        <v>5</v>
      </c>
      <c r="Z40" s="2537"/>
      <c r="AA40" s="2538"/>
      <c r="AB40" s="2542"/>
      <c r="AC40" s="2543">
        <f>P199</f>
        <v>0</v>
      </c>
      <c r="AD40" s="2541">
        <f>P199</f>
        <v>0</v>
      </c>
      <c r="AE40" s="2537"/>
      <c r="AF40" s="2538"/>
      <c r="AG40" s="2539"/>
    </row>
    <row r="41" spans="1:33" s="157" customFormat="1" ht="10.5" customHeight="1">
      <c r="A41" s="1615" t="s">
        <v>347</v>
      </c>
      <c r="B41" s="2536" t="s">
        <v>6358</v>
      </c>
      <c r="C41" s="1792"/>
      <c r="D41" s="1793"/>
      <c r="E41" s="1793"/>
      <c r="F41" s="1793"/>
      <c r="G41" s="2537">
        <v>1</v>
      </c>
      <c r="H41" s="2538"/>
      <c r="I41" s="2537"/>
      <c r="J41" s="2538"/>
      <c r="K41" s="2539"/>
      <c r="L41" s="1613"/>
      <c r="Q41" s="1613"/>
      <c r="R41" s="1615" t="s">
        <v>347</v>
      </c>
      <c r="S41" s="2536" t="s">
        <v>6358</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6544</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6359</v>
      </c>
      <c r="C43" s="1794"/>
      <c r="D43" s="1795"/>
      <c r="E43" s="1795"/>
      <c r="F43" s="1795"/>
      <c r="G43" s="2537">
        <v>3</v>
      </c>
      <c r="H43" s="2538"/>
      <c r="I43" s="2537"/>
      <c r="J43" s="2538"/>
      <c r="K43" s="2539"/>
      <c r="L43" s="1613"/>
      <c r="M43" s="4375" t="str">
        <f>IF($P$45&gt;$P$46,"New Supply",IF($P$45&lt;$P$46,"Rehabilitation",IF(AND($P$45&gt;0,$P$45=$P$46),"Tie","")))</f>
        <v>New Supply</v>
      </c>
      <c r="N43" s="4376"/>
      <c r="O43" s="4376"/>
      <c r="P43" s="4377"/>
      <c r="Q43" s="1613"/>
      <c r="R43" s="1615" t="s">
        <v>1648</v>
      </c>
      <c r="S43" s="2536" t="s">
        <v>6359</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4247</v>
      </c>
      <c r="C44" s="1794"/>
      <c r="D44" s="1795"/>
      <c r="E44" s="1795"/>
      <c r="F44" s="1795"/>
      <c r="G44" s="2537">
        <v>5</v>
      </c>
      <c r="H44" s="2538"/>
      <c r="I44" s="2537"/>
      <c r="J44" s="2538"/>
      <c r="K44" s="2539"/>
      <c r="L44" s="1613"/>
      <c r="P44" s="1615" t="s">
        <v>3379</v>
      </c>
      <c r="Q44" s="1613"/>
      <c r="R44" s="1615" t="s">
        <v>3520</v>
      </c>
      <c r="S44" s="2536" t="s">
        <v>4247</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6374</v>
      </c>
      <c r="N45" s="1613"/>
      <c r="P45" s="1805">
        <f>'Part VI-Revenues &amp; Expenses'!P115+'Part VI-Revenues &amp; Expenses'!P122+'Part VI-Revenues &amp; Expenses'!P123</f>
        <v>72</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6360</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6360</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58" t="s">
        <v>6826</v>
      </c>
      <c r="N47" s="4358"/>
      <c r="O47" s="4358"/>
      <c r="P47" s="4358"/>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58"/>
      <c r="N48" s="4358"/>
      <c r="O48" s="4358"/>
      <c r="P48" s="4358"/>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58"/>
      <c r="N49" s="4358"/>
      <c r="O49" s="4358"/>
      <c r="P49" s="4358"/>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6361</v>
      </c>
      <c r="C50" s="1794"/>
      <c r="D50" s="1795"/>
      <c r="E50" s="1795"/>
      <c r="F50" s="1795"/>
      <c r="G50" s="2537">
        <v>10</v>
      </c>
      <c r="H50" s="2538">
        <v>10</v>
      </c>
      <c r="I50" s="2537">
        <v>10</v>
      </c>
      <c r="J50" s="2538">
        <v>10</v>
      </c>
      <c r="K50" s="2539">
        <v>10</v>
      </c>
      <c r="L50" s="1613"/>
      <c r="M50" s="4358"/>
      <c r="N50" s="4358"/>
      <c r="O50" s="4358"/>
      <c r="P50" s="4358"/>
      <c r="R50" s="1615" t="s">
        <v>3523</v>
      </c>
      <c r="S50" s="2536" t="s">
        <v>6361</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6362</v>
      </c>
      <c r="C51" s="1794"/>
      <c r="D51" s="1795"/>
      <c r="E51" s="1795"/>
      <c r="F51" s="1795"/>
      <c r="G51" s="2537">
        <v>2</v>
      </c>
      <c r="H51" s="2538"/>
      <c r="I51" s="2537">
        <v>2</v>
      </c>
      <c r="J51" s="2538"/>
      <c r="K51" s="2539"/>
      <c r="L51" s="1613"/>
      <c r="M51" s="4358"/>
      <c r="N51" s="4358"/>
      <c r="O51" s="4358"/>
      <c r="P51" s="4358"/>
      <c r="R51" s="1615" t="s">
        <v>3526</v>
      </c>
      <c r="S51" s="2536" t="s">
        <v>6362</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6363</v>
      </c>
      <c r="C52" s="1794"/>
      <c r="D52" s="1795"/>
      <c r="E52" s="1795"/>
      <c r="F52" s="1795"/>
      <c r="G52" s="2537"/>
      <c r="H52" s="2538"/>
      <c r="I52" s="2537">
        <v>6</v>
      </c>
      <c r="J52" s="2538">
        <v>6</v>
      </c>
      <c r="K52" s="2539">
        <v>6</v>
      </c>
      <c r="L52" s="1613"/>
      <c r="M52" s="4359"/>
      <c r="N52" s="4359"/>
      <c r="O52" s="4359"/>
      <c r="P52" s="4359"/>
      <c r="R52" s="1615" t="s">
        <v>3527</v>
      </c>
      <c r="S52" s="2536" t="s">
        <v>6363</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6364</v>
      </c>
      <c r="C53" s="1794"/>
      <c r="D53" s="1795"/>
      <c r="E53" s="1795"/>
      <c r="F53" s="1795"/>
      <c r="G53" s="2537"/>
      <c r="H53" s="2538"/>
      <c r="I53" s="2537">
        <v>6</v>
      </c>
      <c r="J53" s="2538"/>
      <c r="K53" s="2539"/>
      <c r="L53" s="1613"/>
      <c r="M53" s="4307" t="s">
        <v>6574</v>
      </c>
      <c r="N53" s="4308"/>
      <c r="O53" s="4308"/>
      <c r="P53" s="4309"/>
      <c r="Q53" s="1613"/>
      <c r="R53" s="1615" t="s">
        <v>3528</v>
      </c>
      <c r="S53" s="2536" t="s">
        <v>6364</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6365</v>
      </c>
      <c r="C54" s="1794"/>
      <c r="D54" s="1795"/>
      <c r="E54" s="1795"/>
      <c r="F54" s="1795"/>
      <c r="G54" s="2537"/>
      <c r="H54" s="2538"/>
      <c r="I54" s="2537"/>
      <c r="J54" s="2538">
        <v>4</v>
      </c>
      <c r="K54" s="2539"/>
      <c r="L54" s="1613"/>
      <c r="Q54" s="1613"/>
      <c r="R54" s="1615" t="s">
        <v>3529</v>
      </c>
      <c r="S54" s="2536" t="s">
        <v>6365</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6366</v>
      </c>
      <c r="C55" s="1794"/>
      <c r="D55" s="1795"/>
      <c r="E55" s="1795"/>
      <c r="F55" s="1795"/>
      <c r="G55" s="2537"/>
      <c r="H55" s="2538"/>
      <c r="I55" s="2537">
        <v>2</v>
      </c>
      <c r="J55" s="2538"/>
      <c r="K55" s="2539">
        <v>2</v>
      </c>
      <c r="L55" s="1613"/>
      <c r="M55" s="4374" t="s">
        <v>6373</v>
      </c>
      <c r="N55" s="4374"/>
      <c r="O55" s="4374"/>
      <c r="P55" s="4374"/>
      <c r="Q55" s="1613"/>
      <c r="R55" s="1615" t="s">
        <v>3530</v>
      </c>
      <c r="S55" s="2536" t="s">
        <v>6366</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6367</v>
      </c>
      <c r="C56" s="1796"/>
      <c r="D56" s="1797"/>
      <c r="E56" s="1797"/>
      <c r="F56" s="1797"/>
      <c r="G56" s="2555"/>
      <c r="H56" s="2556">
        <v>16</v>
      </c>
      <c r="I56" s="2555"/>
      <c r="J56" s="2556">
        <v>16</v>
      </c>
      <c r="K56" s="2557"/>
      <c r="L56" s="1613"/>
      <c r="M56" s="4370" t="str">
        <f>'Part I-Project Information'!$H$105</f>
        <v>Other Metro</v>
      </c>
      <c r="N56" s="4371"/>
      <c r="O56" s="4371"/>
      <c r="P56" s="4372"/>
      <c r="Q56" s="1613"/>
      <c r="R56" s="1615" t="s">
        <v>3531</v>
      </c>
      <c r="S56" s="2554" t="s">
        <v>6367</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65.5</v>
      </c>
      <c r="Y58" s="2562">
        <f t="shared" ref="Y58:AB58" si="1">SUM(Y33:Y56)</f>
        <v>45.5</v>
      </c>
      <c r="Z58" s="2562">
        <f t="shared" si="1"/>
        <v>30</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49">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3297</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6"/>
    </row>
    <row r="65" spans="1:20" s="43" customFormat="1" ht="12.75" customHeight="1">
      <c r="C65" s="4280" t="s">
        <v>4080</v>
      </c>
      <c r="D65" s="4281"/>
      <c r="E65" s="4281"/>
      <c r="F65" s="4281"/>
      <c r="G65" s="4281"/>
      <c r="H65" s="4281"/>
      <c r="I65" s="4281"/>
      <c r="J65" s="4281"/>
      <c r="K65" s="4281"/>
      <c r="L65" s="4281"/>
      <c r="M65" s="4281"/>
      <c r="N65" s="4281"/>
      <c r="O65" s="4281"/>
      <c r="P65" s="4282"/>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80" t="s">
        <v>6283</v>
      </c>
      <c r="B69" s="4080"/>
      <c r="C69" s="4080"/>
      <c r="D69" s="4080"/>
      <c r="E69" s="4080"/>
      <c r="F69" s="1260" t="s">
        <v>3543</v>
      </c>
      <c r="G69" s="4342" t="s">
        <v>6285</v>
      </c>
      <c r="H69" s="4342"/>
      <c r="I69" s="4342"/>
      <c r="J69" s="1260" t="s">
        <v>3543</v>
      </c>
      <c r="K69" s="4346" t="s">
        <v>6284</v>
      </c>
      <c r="L69" s="4346"/>
      <c r="M69" s="4346"/>
      <c r="N69" s="4346"/>
      <c r="O69" s="4340" t="s">
        <v>3543</v>
      </c>
      <c r="P69" s="4341"/>
      <c r="R69" s="429"/>
      <c r="S69" s="156"/>
    </row>
    <row r="70" spans="1:20" s="42" customFormat="1" ht="12.75" customHeight="1">
      <c r="A70" s="4339"/>
      <c r="B70" s="4339"/>
      <c r="C70" s="4339"/>
      <c r="D70" s="4339"/>
      <c r="E70" s="4339"/>
      <c r="F70" s="76">
        <f>SUM(F71:F82)</f>
        <v>0</v>
      </c>
      <c r="G70" s="4343"/>
      <c r="H70" s="4344"/>
      <c r="I70" s="4345"/>
      <c r="J70" s="76">
        <f>SUM(J71:J82)</f>
        <v>0</v>
      </c>
      <c r="K70" s="4347"/>
      <c r="L70" s="4348"/>
      <c r="M70" s="4348"/>
      <c r="N70" s="4349"/>
      <c r="O70" s="4330">
        <f>SUM(O71:O82)</f>
        <v>0</v>
      </c>
      <c r="P70" s="4331"/>
      <c r="Q70" s="429"/>
      <c r="R70" s="156"/>
    </row>
    <row r="71" spans="1:20" s="42" customFormat="1" ht="24.75" customHeight="1">
      <c r="A71" s="4332">
        <v>1</v>
      </c>
      <c r="B71" s="4333"/>
      <c r="C71" s="4333"/>
      <c r="D71" s="4333"/>
      <c r="E71" s="4334"/>
      <c r="F71" s="2987"/>
      <c r="G71" s="4332">
        <v>1</v>
      </c>
      <c r="H71" s="4333"/>
      <c r="I71" s="4334"/>
      <c r="J71" s="775" t="s">
        <v>1654</v>
      </c>
      <c r="K71" s="4335">
        <v>1</v>
      </c>
      <c r="L71" s="4336"/>
      <c r="M71" s="4336"/>
      <c r="N71" s="4336"/>
      <c r="O71" s="4337" t="s">
        <v>1654</v>
      </c>
      <c r="P71" s="4338"/>
      <c r="Q71" s="427" t="s">
        <v>1208</v>
      </c>
      <c r="R71" s="156"/>
    </row>
    <row r="72" spans="1:20" s="42" customFormat="1" ht="24.75" customHeight="1">
      <c r="A72" s="4188">
        <v>2</v>
      </c>
      <c r="B72" s="4189"/>
      <c r="C72" s="4189"/>
      <c r="D72" s="4189"/>
      <c r="E72" s="4190"/>
      <c r="F72" s="2988"/>
      <c r="G72" s="4188">
        <v>2</v>
      </c>
      <c r="H72" s="4189"/>
      <c r="I72" s="4190"/>
      <c r="J72" s="2988"/>
      <c r="K72" s="4176">
        <v>2</v>
      </c>
      <c r="L72" s="4177"/>
      <c r="M72" s="4177"/>
      <c r="N72" s="4177"/>
      <c r="O72" s="4199"/>
      <c r="P72" s="4200"/>
      <c r="Q72" s="428"/>
      <c r="R72" s="156"/>
    </row>
    <row r="73" spans="1:20" s="42" customFormat="1" ht="24.75" customHeight="1">
      <c r="A73" s="4188">
        <v>3</v>
      </c>
      <c r="B73" s="4189"/>
      <c r="C73" s="4189"/>
      <c r="D73" s="4189"/>
      <c r="E73" s="4190"/>
      <c r="F73" s="2988"/>
      <c r="G73" s="4188">
        <v>3</v>
      </c>
      <c r="H73" s="4189"/>
      <c r="I73" s="4190"/>
      <c r="J73" s="1003" t="s">
        <v>2692</v>
      </c>
      <c r="K73" s="4176">
        <v>3</v>
      </c>
      <c r="L73" s="4177"/>
      <c r="M73" s="4177"/>
      <c r="N73" s="4177"/>
      <c r="O73" s="4178" t="s">
        <v>2692</v>
      </c>
      <c r="P73" s="4179"/>
      <c r="Q73" s="4174" t="s">
        <v>3972</v>
      </c>
      <c r="R73" s="4175"/>
      <c r="S73" s="1262"/>
      <c r="T73" s="1262"/>
    </row>
    <row r="74" spans="1:20" s="42" customFormat="1" ht="24.75" customHeight="1">
      <c r="A74" s="4188">
        <v>4</v>
      </c>
      <c r="B74" s="4189"/>
      <c r="C74" s="4189"/>
      <c r="D74" s="4189"/>
      <c r="E74" s="4190"/>
      <c r="F74" s="2988"/>
      <c r="G74" s="4188">
        <v>4</v>
      </c>
      <c r="H74" s="4189"/>
      <c r="I74" s="4190"/>
      <c r="J74" s="2988"/>
      <c r="K74" s="4176">
        <v>4</v>
      </c>
      <c r="L74" s="4177"/>
      <c r="M74" s="4177"/>
      <c r="N74" s="4177"/>
      <c r="O74" s="4178" t="s">
        <v>2692</v>
      </c>
      <c r="P74" s="4179"/>
      <c r="Q74" s="4174"/>
      <c r="R74" s="4175"/>
      <c r="S74" s="1262"/>
      <c r="T74" s="1262"/>
    </row>
    <row r="75" spans="1:20" s="42" customFormat="1" ht="24.75" customHeight="1">
      <c r="A75" s="4188">
        <v>5</v>
      </c>
      <c r="B75" s="4189"/>
      <c r="C75" s="4189"/>
      <c r="D75" s="4189"/>
      <c r="E75" s="4190"/>
      <c r="F75" s="2988"/>
      <c r="G75" s="4188">
        <v>5</v>
      </c>
      <c r="H75" s="4189"/>
      <c r="I75" s="4190"/>
      <c r="J75" s="1003" t="s">
        <v>3265</v>
      </c>
      <c r="K75" s="4176">
        <v>5</v>
      </c>
      <c r="L75" s="4177"/>
      <c r="M75" s="4177"/>
      <c r="N75" s="4177"/>
      <c r="O75" s="4199"/>
      <c r="P75" s="4200"/>
      <c r="Q75" s="4174"/>
      <c r="R75" s="4175"/>
      <c r="S75" s="1262"/>
      <c r="T75" s="1262"/>
    </row>
    <row r="76" spans="1:20" s="42" customFormat="1" ht="24" customHeight="1">
      <c r="A76" s="4188">
        <v>6</v>
      </c>
      <c r="B76" s="4189"/>
      <c r="C76" s="4189"/>
      <c r="D76" s="4189"/>
      <c r="E76" s="4190"/>
      <c r="F76" s="2988"/>
      <c r="G76" s="4188">
        <v>6</v>
      </c>
      <c r="H76" s="4189"/>
      <c r="I76" s="4190"/>
      <c r="J76" s="2988"/>
      <c r="K76" s="4176">
        <v>6</v>
      </c>
      <c r="L76" s="4177"/>
      <c r="M76" s="4177"/>
      <c r="N76" s="4177"/>
      <c r="O76" s="4199"/>
      <c r="P76" s="4200"/>
      <c r="Q76" s="4174"/>
      <c r="R76" s="4175"/>
    </row>
    <row r="77" spans="1:20" s="42" customFormat="1" ht="24.75" customHeight="1">
      <c r="A77" s="4188">
        <v>7</v>
      </c>
      <c r="B77" s="4189"/>
      <c r="C77" s="4189"/>
      <c r="D77" s="4189"/>
      <c r="E77" s="4190"/>
      <c r="F77" s="2988"/>
      <c r="G77" s="4188">
        <v>7</v>
      </c>
      <c r="H77" s="4189"/>
      <c r="I77" s="4190"/>
      <c r="J77" s="1003" t="s">
        <v>3266</v>
      </c>
      <c r="K77" s="4176">
        <v>7</v>
      </c>
      <c r="L77" s="4177"/>
      <c r="M77" s="4177"/>
      <c r="N77" s="4177"/>
      <c r="O77" s="4199"/>
      <c r="P77" s="4200"/>
      <c r="Q77" s="156"/>
      <c r="R77" s="156"/>
    </row>
    <row r="78" spans="1:20" s="42" customFormat="1" ht="24.75" customHeight="1">
      <c r="A78" s="4188">
        <v>8</v>
      </c>
      <c r="B78" s="4189"/>
      <c r="C78" s="4189"/>
      <c r="D78" s="4189"/>
      <c r="E78" s="4190"/>
      <c r="F78" s="2988"/>
      <c r="G78" s="4188">
        <v>8</v>
      </c>
      <c r="H78" s="4189"/>
      <c r="I78" s="4190"/>
      <c r="J78" s="2988"/>
      <c r="K78" s="4176">
        <v>8</v>
      </c>
      <c r="L78" s="4177"/>
      <c r="M78" s="4177"/>
      <c r="N78" s="4177"/>
      <c r="O78" s="4199"/>
      <c r="P78" s="4200"/>
      <c r="Q78" s="156"/>
      <c r="R78" s="156"/>
    </row>
    <row r="79" spans="1:20" s="42" customFormat="1" ht="24.75" customHeight="1">
      <c r="A79" s="4188">
        <v>9</v>
      </c>
      <c r="B79" s="4189"/>
      <c r="C79" s="4189"/>
      <c r="D79" s="4189"/>
      <c r="E79" s="4190"/>
      <c r="F79" s="2988"/>
      <c r="G79" s="4188">
        <v>9</v>
      </c>
      <c r="H79" s="4189"/>
      <c r="I79" s="4190"/>
      <c r="J79" s="1003" t="s">
        <v>3267</v>
      </c>
      <c r="K79" s="4176">
        <v>9</v>
      </c>
      <c r="L79" s="4177"/>
      <c r="M79" s="4177"/>
      <c r="N79" s="4177"/>
      <c r="O79" s="4199"/>
      <c r="P79" s="4200"/>
      <c r="Q79" s="156"/>
      <c r="R79" s="156"/>
    </row>
    <row r="80" spans="1:20" s="42" customFormat="1" ht="24.75" customHeight="1">
      <c r="A80" s="4188">
        <v>10</v>
      </c>
      <c r="B80" s="4189"/>
      <c r="C80" s="4189"/>
      <c r="D80" s="4189"/>
      <c r="E80" s="4190"/>
      <c r="F80" s="2988"/>
      <c r="G80" s="4188">
        <v>10</v>
      </c>
      <c r="H80" s="4189"/>
      <c r="I80" s="4190"/>
      <c r="J80" s="2988"/>
      <c r="K80" s="4176">
        <v>10</v>
      </c>
      <c r="L80" s="4177"/>
      <c r="M80" s="4177"/>
      <c r="N80" s="4177"/>
      <c r="O80" s="4199"/>
      <c r="P80" s="4200"/>
      <c r="Q80" s="156"/>
    </row>
    <row r="81" spans="1:19" s="42" customFormat="1" ht="24.75" customHeight="1">
      <c r="A81" s="4188">
        <v>11</v>
      </c>
      <c r="B81" s="4189"/>
      <c r="C81" s="4189"/>
      <c r="D81" s="4189"/>
      <c r="E81" s="4190"/>
      <c r="F81" s="2988"/>
      <c r="G81" s="4188">
        <v>11</v>
      </c>
      <c r="H81" s="4189"/>
      <c r="I81" s="4190"/>
      <c r="J81" s="1003" t="s">
        <v>3268</v>
      </c>
      <c r="K81" s="4188">
        <v>11</v>
      </c>
      <c r="L81" s="4189"/>
      <c r="M81" s="4189"/>
      <c r="N81" s="4190"/>
      <c r="O81" s="4199"/>
      <c r="P81" s="4200"/>
      <c r="Q81" s="156"/>
      <c r="R81" s="156"/>
    </row>
    <row r="82" spans="1:19" s="42" customFormat="1" ht="24.75" customHeight="1">
      <c r="A82" s="4201">
        <v>12</v>
      </c>
      <c r="B82" s="4202"/>
      <c r="C82" s="4202"/>
      <c r="D82" s="4202"/>
      <c r="E82" s="4203"/>
      <c r="F82" s="2989"/>
      <c r="G82" s="4201">
        <v>12</v>
      </c>
      <c r="H82" s="4202"/>
      <c r="I82" s="4203"/>
      <c r="J82" s="2989"/>
      <c r="K82" s="4201">
        <v>12</v>
      </c>
      <c r="L82" s="4202"/>
      <c r="M82" s="4202"/>
      <c r="N82" s="4203"/>
      <c r="O82" s="4204"/>
      <c r="P82" s="4205"/>
    </row>
    <row r="83" spans="1:19" s="43" customFormat="1" ht="3" customHeight="1" thickBot="1">
      <c r="D83" s="39"/>
      <c r="E83" s="36"/>
      <c r="F83" s="777"/>
      <c r="G83" s="777"/>
      <c r="H83" s="777"/>
      <c r="I83" s="777"/>
      <c r="J83" s="783"/>
      <c r="K83" s="783"/>
      <c r="L83" s="783"/>
      <c r="M83" s="60"/>
      <c r="N83" s="777"/>
      <c r="O83" s="2653"/>
      <c r="P83" s="3"/>
    </row>
    <row r="84" spans="1:19" s="101" customFormat="1" ht="13.5" customHeight="1" thickBot="1">
      <c r="A84" s="151" t="s">
        <v>1711</v>
      </c>
      <c r="B84" s="105" t="s">
        <v>3269</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6375</v>
      </c>
      <c r="E86" s="57"/>
      <c r="G86" s="87"/>
      <c r="H86" s="55" t="s">
        <v>4066</v>
      </c>
      <c r="I86" s="1316" t="str">
        <f>'Part I-Project Information'!$K$94</f>
        <v>40% of Units at 60% of AMI</v>
      </c>
      <c r="M86" s="777"/>
      <c r="N86" s="7"/>
      <c r="Q86" s="7"/>
      <c r="R86" s="367"/>
    </row>
    <row r="87" spans="1:19" s="101" customFormat="1" ht="9" customHeight="1">
      <c r="A87" s="137"/>
      <c r="B87" s="4195" t="s">
        <v>3975</v>
      </c>
      <c r="C87" s="4195"/>
      <c r="D87" s="4195"/>
      <c r="E87" s="4195"/>
      <c r="F87" s="4195"/>
      <c r="G87" s="4195"/>
      <c r="H87" s="4195"/>
      <c r="I87" s="4195"/>
      <c r="J87" s="4195"/>
      <c r="K87" s="4195"/>
      <c r="L87" s="4195"/>
      <c r="M87" s="777"/>
      <c r="N87" s="7"/>
      <c r="Q87" s="7"/>
      <c r="R87" s="367"/>
    </row>
    <row r="88" spans="1:19" s="101" customFormat="1" ht="13.5" customHeight="1">
      <c r="B88" s="4195"/>
      <c r="C88" s="4195"/>
      <c r="D88" s="4195"/>
      <c r="E88" s="4195"/>
      <c r="F88" s="4195"/>
      <c r="G88" s="4195"/>
      <c r="H88" s="4195"/>
      <c r="I88" s="4195"/>
      <c r="J88" s="4195"/>
      <c r="K88" s="4195"/>
      <c r="L88" s="4195"/>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57.5</v>
      </c>
      <c r="L89" s="4198" t="str">
        <f>IF(AND(O89&gt;0,O90&gt;0), "CHOOSE EITHER A OR B, NOT BOTH!", "")</f>
        <v/>
      </c>
      <c r="M89" s="910">
        <v>2</v>
      </c>
      <c r="N89" s="172" t="s">
        <v>1896</v>
      </c>
      <c r="O89" s="2563"/>
      <c r="P89" s="2990"/>
      <c r="Q89" s="1295" t="str">
        <f>IF(OR($O89=$M89,$O89=0,$O89=""),"","*CHECK!*")</f>
        <v/>
      </c>
      <c r="R89" s="892" t="s">
        <v>4265</v>
      </c>
    </row>
    <row r="90" spans="1:19" s="101" customFormat="1" ht="13.5" customHeight="1">
      <c r="A90" s="1267" t="s">
        <v>3104</v>
      </c>
      <c r="B90" s="1279" t="s">
        <v>1898</v>
      </c>
      <c r="C90" s="1268" t="s">
        <v>3978</v>
      </c>
      <c r="D90" s="52"/>
      <c r="I90" s="1266"/>
      <c r="K90" s="52"/>
      <c r="L90" s="4198"/>
      <c r="M90" s="910">
        <v>2</v>
      </c>
      <c r="N90" s="172" t="s">
        <v>1898</v>
      </c>
      <c r="O90" s="2564">
        <v>2</v>
      </c>
      <c r="P90" s="2991"/>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238" t="s">
        <v>3979</v>
      </c>
      <c r="I92" s="4239"/>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2"/>
      <c r="J93" s="1270">
        <f>'Part VI-Revenues &amp; Expenses'!P65</f>
        <v>72</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2"/>
      <c r="P94" s="2955"/>
    </row>
    <row r="95" spans="1:19" s="43" customFormat="1" ht="10.5" customHeight="1">
      <c r="A95" s="42"/>
      <c r="B95" s="96" t="s">
        <v>1780</v>
      </c>
      <c r="C95" s="414"/>
      <c r="D95" s="85"/>
      <c r="E95" s="2656"/>
      <c r="F95" s="2656"/>
      <c r="G95" s="2656"/>
      <c r="H95" s="2656"/>
      <c r="I95" s="2656"/>
      <c r="J95" s="2656"/>
      <c r="K95" s="2656"/>
      <c r="L95" s="2656"/>
      <c r="M95" s="2656"/>
      <c r="N95" s="74"/>
      <c r="O95" s="70"/>
      <c r="P95" s="2649"/>
      <c r="Q95" s="414"/>
    </row>
    <row r="96" spans="1:19" s="43" customFormat="1" ht="22.5" customHeight="1">
      <c r="A96" s="3972"/>
      <c r="B96" s="3973"/>
      <c r="C96" s="3973"/>
      <c r="D96" s="3973"/>
      <c r="E96" s="3973"/>
      <c r="F96" s="3973"/>
      <c r="G96" s="3973"/>
      <c r="H96" s="3973"/>
      <c r="I96" s="3973"/>
      <c r="J96" s="3973"/>
      <c r="K96" s="3973"/>
      <c r="L96" s="3973"/>
      <c r="M96" s="3973"/>
      <c r="N96" s="3973"/>
      <c r="O96" s="3973"/>
      <c r="P96" s="3974"/>
      <c r="Q96" s="427"/>
    </row>
    <row r="97" spans="1:21" ht="7.5" customHeight="1" thickBot="1"/>
    <row r="98" spans="1:21" s="43" customFormat="1" ht="13.5" customHeight="1" thickBot="1">
      <c r="A98" s="151" t="s">
        <v>1713</v>
      </c>
      <c r="B98" s="104" t="s">
        <v>3518</v>
      </c>
      <c r="D98" s="41"/>
      <c r="K98" s="1624" t="s">
        <v>367</v>
      </c>
      <c r="L98" s="1625" t="str">
        <f>M43</f>
        <v>New Supply</v>
      </c>
      <c r="M98" s="2649">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8" t="s">
        <v>3384</v>
      </c>
      <c r="D99" s="39"/>
      <c r="E99" s="36"/>
      <c r="F99" s="777"/>
      <c r="G99" s="777"/>
      <c r="H99" s="897"/>
      <c r="I99" s="897"/>
      <c r="J99" s="897"/>
      <c r="K99" s="897"/>
      <c r="L99" s="897"/>
      <c r="M99" s="60"/>
      <c r="N99" s="777"/>
      <c r="O99" s="2653"/>
      <c r="P99" s="3"/>
    </row>
    <row r="100" spans="1:21" s="101" customFormat="1" ht="12.75" customHeight="1">
      <c r="A100" s="137"/>
      <c r="B100" s="36" t="s">
        <v>3421</v>
      </c>
      <c r="D100" s="33"/>
      <c r="N100" s="439"/>
      <c r="O100" s="2515" t="s">
        <v>2769</v>
      </c>
      <c r="P100" s="2993"/>
    </row>
    <row r="101" spans="1:21" s="101" customFormat="1" ht="12.75" customHeight="1">
      <c r="A101" s="137" t="s">
        <v>1893</v>
      </c>
      <c r="B101" s="163" t="s">
        <v>1787</v>
      </c>
      <c r="C101" s="4"/>
      <c r="D101" s="4"/>
      <c r="F101" s="291"/>
      <c r="H101" s="753" t="s">
        <v>2565</v>
      </c>
      <c r="I101" s="4211" t="s">
        <v>4248</v>
      </c>
      <c r="J101" s="4212"/>
      <c r="K101" s="4212"/>
      <c r="L101" s="4213"/>
      <c r="M101" s="72">
        <v>20</v>
      </c>
      <c r="N101" s="172" t="s">
        <v>1893</v>
      </c>
      <c r="O101" s="2566">
        <v>20</v>
      </c>
      <c r="P101" s="2994"/>
      <c r="Q101" s="1295"/>
      <c r="R101" s="892" t="s">
        <v>4265</v>
      </c>
    </row>
    <row r="102" spans="1:21" s="101" customFormat="1" ht="12.75" customHeight="1">
      <c r="A102" s="137" t="s">
        <v>1895</v>
      </c>
      <c r="B102" s="163" t="s">
        <v>3415</v>
      </c>
      <c r="D102" s="961"/>
      <c r="F102" s="1317"/>
      <c r="H102" s="753" t="s">
        <v>3484</v>
      </c>
      <c r="I102" s="4214"/>
      <c r="J102" s="4215"/>
      <c r="K102" s="4215"/>
      <c r="L102" s="4216"/>
      <c r="M102" s="2673" t="s">
        <v>1192</v>
      </c>
      <c r="N102" s="439" t="s">
        <v>1895</v>
      </c>
      <c r="O102" s="2567">
        <v>0</v>
      </c>
      <c r="P102" s="2995"/>
      <c r="R102" s="892" t="s">
        <v>4265</v>
      </c>
    </row>
    <row r="103" spans="1:21" s="43" customFormat="1" ht="12.75" customHeight="1" thickBot="1">
      <c r="A103" s="42"/>
      <c r="B103" s="1007" t="s">
        <v>3372</v>
      </c>
      <c r="C103" s="42"/>
      <c r="D103" s="48"/>
      <c r="E103" s="48"/>
      <c r="F103" s="48"/>
      <c r="G103" s="48"/>
      <c r="H103" s="36"/>
      <c r="I103" s="4217"/>
      <c r="J103" s="4218"/>
      <c r="K103" s="4218"/>
      <c r="L103" s="4219"/>
      <c r="M103" s="46"/>
      <c r="N103" s="62"/>
      <c r="O103" s="3"/>
      <c r="P103" s="2653"/>
    </row>
    <row r="104" spans="1:21" s="43" customFormat="1" ht="90" customHeight="1" thickTop="1" thickBot="1">
      <c r="A104" s="4208" t="s">
        <v>6964</v>
      </c>
      <c r="B104" s="4209"/>
      <c r="C104" s="4209"/>
      <c r="D104" s="4209"/>
      <c r="E104" s="4209"/>
      <c r="F104" s="4209"/>
      <c r="G104" s="4209"/>
      <c r="H104" s="4209"/>
      <c r="I104" s="4209"/>
      <c r="J104" s="4209"/>
      <c r="K104" s="4209"/>
      <c r="L104" s="4209"/>
      <c r="M104" s="4209"/>
      <c r="N104" s="4209"/>
      <c r="O104" s="4209"/>
      <c r="P104" s="4210"/>
      <c r="Q104" s="933" t="s">
        <v>1208</v>
      </c>
      <c r="R104" s="428"/>
    </row>
    <row r="105" spans="1:21" s="43" customFormat="1" ht="11.45" customHeight="1" thickTop="1">
      <c r="A105" s="42"/>
      <c r="B105" s="66" t="s">
        <v>1780</v>
      </c>
      <c r="C105" s="42"/>
      <c r="D105" s="135"/>
      <c r="E105" s="2656"/>
      <c r="F105" s="2656"/>
      <c r="G105" s="2656"/>
      <c r="H105" s="2656"/>
      <c r="I105" s="2656"/>
      <c r="J105" s="2656"/>
      <c r="K105" s="2656"/>
      <c r="L105" s="2656"/>
      <c r="M105" s="2656"/>
      <c r="N105" s="74"/>
      <c r="O105" s="70"/>
      <c r="P105" s="2649"/>
      <c r="Q105" s="414"/>
      <c r="R105" s="414"/>
    </row>
    <row r="106" spans="1:21" s="43" customFormat="1" ht="90" customHeight="1">
      <c r="A106" s="3972"/>
      <c r="B106" s="3973"/>
      <c r="C106" s="3973"/>
      <c r="D106" s="3973"/>
      <c r="E106" s="3973"/>
      <c r="F106" s="3973"/>
      <c r="G106" s="3973"/>
      <c r="H106" s="3973"/>
      <c r="I106" s="3973"/>
      <c r="J106" s="3973"/>
      <c r="K106" s="3973"/>
      <c r="L106" s="3973"/>
      <c r="M106" s="3973"/>
      <c r="N106" s="3973"/>
      <c r="O106" s="3973"/>
      <c r="P106" s="397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6382</v>
      </c>
      <c r="I108" s="1705" t="s">
        <v>6373</v>
      </c>
      <c r="J108" s="1625" t="str">
        <f>$M$56</f>
        <v>Other Metro</v>
      </c>
      <c r="K108" s="1624" t="s">
        <v>367</v>
      </c>
      <c r="L108" s="1625" t="str">
        <f>M43</f>
        <v>New Supply</v>
      </c>
      <c r="M108" s="2649">
        <v>6</v>
      </c>
      <c r="N108" s="439"/>
      <c r="O108" s="1687">
        <f>MAX(O124,O131,O138)</f>
        <v>3</v>
      </c>
      <c r="P108" s="1687">
        <f>MAX(P124,P131,P138)</f>
        <v>0</v>
      </c>
      <c r="Q108" s="108" t="s">
        <v>422</v>
      </c>
      <c r="R108" s="4386" t="s">
        <v>4125</v>
      </c>
      <c r="S108" s="4387"/>
      <c r="T108" s="4387"/>
      <c r="U108" s="4388"/>
    </row>
    <row r="109" spans="1:21" s="43" customFormat="1" ht="17.25" customHeight="1">
      <c r="A109" s="151"/>
      <c r="B109" s="109" t="s">
        <v>3469</v>
      </c>
      <c r="D109" s="41"/>
      <c r="H109" s="163"/>
      <c r="M109" s="2649"/>
      <c r="N109" s="439"/>
      <c r="O109" s="891" t="s">
        <v>3270</v>
      </c>
      <c r="P109" s="891" t="s">
        <v>3271</v>
      </c>
      <c r="Q109" s="108"/>
      <c r="R109" s="4389"/>
      <c r="S109" s="4390"/>
      <c r="T109" s="4390"/>
      <c r="U109" s="4391"/>
    </row>
    <row r="110" spans="1:21" s="43" customFormat="1" ht="11.25" customHeight="1">
      <c r="A110" s="151"/>
      <c r="B110" s="365" t="s">
        <v>1896</v>
      </c>
      <c r="C110" s="36" t="s">
        <v>3984</v>
      </c>
      <c r="D110" s="961"/>
      <c r="E110" s="101"/>
      <c r="F110" s="101"/>
      <c r="G110" s="101"/>
      <c r="H110" s="45"/>
      <c r="I110" s="49"/>
      <c r="M110" s="2649"/>
      <c r="N110" s="439"/>
      <c r="O110" s="2492" t="s">
        <v>2769</v>
      </c>
      <c r="P110" s="2953"/>
      <c r="Q110" s="108"/>
      <c r="R110" s="4389"/>
      <c r="S110" s="4390"/>
      <c r="T110" s="4390"/>
      <c r="U110" s="4391"/>
    </row>
    <row r="111" spans="1:21" s="43" customFormat="1" ht="11.25" customHeight="1">
      <c r="A111" s="151"/>
      <c r="B111" s="365" t="s">
        <v>1898</v>
      </c>
      <c r="C111" s="36" t="s">
        <v>3985</v>
      </c>
      <c r="D111" s="961"/>
      <c r="E111" s="101"/>
      <c r="F111" s="101"/>
      <c r="G111" s="101"/>
      <c r="H111" s="45"/>
      <c r="I111" s="49"/>
      <c r="J111" s="48"/>
      <c r="K111" s="48"/>
      <c r="L111" s="101"/>
      <c r="M111" s="101"/>
      <c r="N111" s="439"/>
      <c r="O111" s="2667" t="s">
        <v>2769</v>
      </c>
      <c r="P111" s="2954"/>
      <c r="Q111" s="108"/>
      <c r="R111" s="4389"/>
      <c r="S111" s="4390"/>
      <c r="T111" s="4390"/>
      <c r="U111" s="4391"/>
    </row>
    <row r="112" spans="1:21" s="43" customFormat="1" ht="11.25" customHeight="1">
      <c r="A112" s="151"/>
      <c r="B112" s="365" t="s">
        <v>2416</v>
      </c>
      <c r="C112" s="36" t="s">
        <v>6386</v>
      </c>
      <c r="D112" s="961"/>
      <c r="E112" s="101"/>
      <c r="F112" s="101"/>
      <c r="G112" s="101"/>
      <c r="H112" s="45"/>
      <c r="I112" s="49"/>
      <c r="J112" s="48"/>
      <c r="K112" s="48"/>
      <c r="L112" s="101"/>
      <c r="M112" s="101"/>
      <c r="N112" s="439"/>
      <c r="O112" s="2667" t="s">
        <v>6869</v>
      </c>
      <c r="P112" s="2954"/>
      <c r="Q112" s="108"/>
      <c r="R112" s="4389"/>
      <c r="S112" s="4390"/>
      <c r="T112" s="4390"/>
      <c r="U112" s="4391"/>
    </row>
    <row r="113" spans="1:21" s="43" customFormat="1" ht="11.25" customHeight="1">
      <c r="A113" s="151"/>
      <c r="B113" s="365" t="s">
        <v>1178</v>
      </c>
      <c r="C113" s="36" t="s">
        <v>6387</v>
      </c>
      <c r="D113" s="961"/>
      <c r="E113" s="101"/>
      <c r="F113" s="101"/>
      <c r="G113" s="101"/>
      <c r="H113" s="45"/>
      <c r="I113" s="49"/>
      <c r="J113" s="48"/>
      <c r="K113" s="48"/>
      <c r="L113" s="101"/>
      <c r="M113" s="101"/>
      <c r="N113" s="439"/>
      <c r="O113" s="2667" t="s">
        <v>2769</v>
      </c>
      <c r="P113" s="2954"/>
      <c r="Q113" s="108"/>
      <c r="R113" s="4389"/>
      <c r="S113" s="4390"/>
      <c r="T113" s="4390"/>
      <c r="U113" s="4391"/>
    </row>
    <row r="114" spans="1:21" s="43" customFormat="1" ht="11.25" customHeight="1">
      <c r="A114" s="151"/>
      <c r="B114" s="365">
        <v>5</v>
      </c>
      <c r="C114" s="36" t="s">
        <v>6547</v>
      </c>
      <c r="D114" s="961"/>
      <c r="E114" s="101"/>
      <c r="F114" s="101"/>
      <c r="G114" s="101"/>
      <c r="H114" s="45"/>
      <c r="I114" s="49"/>
      <c r="J114" s="48"/>
      <c r="K114" s="48"/>
      <c r="L114" s="101"/>
      <c r="M114" s="101"/>
      <c r="N114" s="439"/>
      <c r="O114" s="2672" t="s">
        <v>6869</v>
      </c>
      <c r="P114" s="2955"/>
      <c r="Q114" s="108"/>
      <c r="R114" s="4389"/>
      <c r="S114" s="4390"/>
      <c r="T114" s="4390"/>
      <c r="U114" s="4391"/>
    </row>
    <row r="115" spans="1:21" s="43" customFormat="1" ht="3" customHeight="1">
      <c r="A115" s="151"/>
      <c r="B115" s="104"/>
      <c r="D115" s="41"/>
      <c r="H115" s="45"/>
      <c r="I115" s="49"/>
      <c r="J115" s="48"/>
      <c r="K115" s="48"/>
      <c r="M115" s="2649"/>
      <c r="N115" s="439"/>
      <c r="O115" s="3"/>
      <c r="P115" s="3"/>
      <c r="Q115" s="108"/>
      <c r="R115" s="4389"/>
      <c r="S115" s="4390"/>
      <c r="T115" s="4390"/>
      <c r="U115" s="4391"/>
    </row>
    <row r="116" spans="1:21" s="43" customFormat="1" ht="13.5" customHeight="1">
      <c r="A116" s="151"/>
      <c r="B116" s="109" t="s">
        <v>3473</v>
      </c>
      <c r="D116" s="41"/>
      <c r="F116" s="4184" t="s">
        <v>3346</v>
      </c>
      <c r="G116" s="4184"/>
      <c r="H116" s="4184"/>
      <c r="I116" s="4184"/>
      <c r="J116" s="4184" t="s">
        <v>3347</v>
      </c>
      <c r="K116" s="4184"/>
      <c r="L116" s="4184"/>
      <c r="M116" s="4184"/>
      <c r="N116" s="439"/>
      <c r="O116" s="4185" t="s">
        <v>4067</v>
      </c>
      <c r="P116" s="4186"/>
      <c r="Q116" s="108"/>
      <c r="R116" s="4389"/>
      <c r="S116" s="4390"/>
      <c r="T116" s="4390"/>
      <c r="U116" s="4391"/>
    </row>
    <row r="117" spans="1:21" s="43" customFormat="1" ht="12.75" customHeight="1">
      <c r="A117" s="151"/>
      <c r="C117" s="462" t="s">
        <v>3472</v>
      </c>
      <c r="D117" s="552"/>
      <c r="E117" s="265"/>
      <c r="F117" s="4243">
        <v>31.852126999999999</v>
      </c>
      <c r="G117" s="4244"/>
      <c r="H117" s="4241"/>
      <c r="I117" s="4242"/>
      <c r="J117" s="4243">
        <v>-81575609</v>
      </c>
      <c r="K117" s="4244"/>
      <c r="L117" s="4241"/>
      <c r="M117" s="4242"/>
      <c r="N117" s="439"/>
      <c r="Q117" s="108"/>
      <c r="R117" s="4389"/>
      <c r="S117" s="4390"/>
      <c r="T117" s="4390"/>
      <c r="U117" s="4391"/>
    </row>
    <row r="118" spans="1:21" s="43" customFormat="1" ht="12.75" customHeight="1">
      <c r="A118" s="4254" t="s">
        <v>3542</v>
      </c>
      <c r="B118" s="4254"/>
      <c r="E118" s="1252" t="s">
        <v>6388</v>
      </c>
      <c r="F118" s="4206">
        <v>31.853331000000001</v>
      </c>
      <c r="G118" s="4207"/>
      <c r="H118" s="4180"/>
      <c r="I118" s="4181"/>
      <c r="J118" s="4206">
        <v>-81.576492000000002</v>
      </c>
      <c r="K118" s="4207"/>
      <c r="L118" s="4180"/>
      <c r="M118" s="4181"/>
      <c r="N118" s="439"/>
      <c r="O118" s="2568">
        <v>0.01</v>
      </c>
      <c r="P118" s="2996"/>
      <c r="Q118" s="108"/>
      <c r="R118" s="4389"/>
      <c r="S118" s="4390"/>
      <c r="T118" s="4390"/>
      <c r="U118" s="4391"/>
    </row>
    <row r="119" spans="1:21" s="43" customFormat="1" ht="12.75" customHeight="1">
      <c r="A119" s="4254"/>
      <c r="B119" s="4254"/>
      <c r="C119" s="462" t="s">
        <v>3516</v>
      </c>
      <c r="D119" s="552"/>
      <c r="E119" s="265"/>
      <c r="F119" s="4396"/>
      <c r="G119" s="4397"/>
      <c r="H119" s="4182"/>
      <c r="I119" s="4183"/>
      <c r="J119" s="4396"/>
      <c r="K119" s="4397"/>
      <c r="L119" s="4182"/>
      <c r="M119" s="4183"/>
      <c r="N119" s="439"/>
      <c r="O119" s="439"/>
      <c r="P119" s="439"/>
      <c r="Q119" s="108"/>
      <c r="R119" s="4389"/>
      <c r="S119" s="4390"/>
      <c r="T119" s="4390"/>
      <c r="U119" s="4391"/>
    </row>
    <row r="120" spans="1:21" s="43" customFormat="1" ht="12.75" customHeight="1">
      <c r="A120" s="4254"/>
      <c r="B120" s="4254"/>
      <c r="E120" s="1252" t="s">
        <v>3515</v>
      </c>
      <c r="F120" s="4256"/>
      <c r="G120" s="4257"/>
      <c r="H120" s="4220"/>
      <c r="I120" s="4221"/>
      <c r="J120" s="4256"/>
      <c r="K120" s="4257"/>
      <c r="L120" s="4220"/>
      <c r="M120" s="4221"/>
      <c r="N120" s="439"/>
      <c r="O120" s="2568"/>
      <c r="P120" s="2996"/>
      <c r="Q120" s="108"/>
      <c r="R120" s="4392"/>
      <c r="S120" s="4393"/>
      <c r="T120" s="4393"/>
      <c r="U120" s="4394"/>
    </row>
    <row r="121" spans="1:21" s="43" customFormat="1" ht="9" customHeight="1">
      <c r="A121" s="151"/>
      <c r="B121" s="104"/>
      <c r="D121" s="41"/>
      <c r="H121" s="45"/>
      <c r="I121" s="49"/>
      <c r="J121" s="48"/>
      <c r="K121" s="48"/>
      <c r="M121" s="2649"/>
      <c r="N121" s="439"/>
      <c r="O121" s="3"/>
      <c r="P121" s="3"/>
      <c r="Q121" s="108"/>
      <c r="R121" s="960"/>
      <c r="S121" s="960"/>
      <c r="T121" s="960"/>
      <c r="U121" s="960"/>
    </row>
    <row r="122" spans="1:21" s="43" customFormat="1" ht="12.6" customHeight="1">
      <c r="A122" s="483" t="s">
        <v>6383</v>
      </c>
      <c r="B122" s="104"/>
      <c r="D122" s="41"/>
      <c r="F122" s="61" t="s">
        <v>6296</v>
      </c>
      <c r="I122" s="4255" t="str">
        <f>IF(AND(O124&gt;0,O131&gt;0),"Pick A or B, not both!","")</f>
        <v/>
      </c>
      <c r="J122" s="4255"/>
      <c r="K122" s="4255" t="str">
        <f>IF(AND(P124&gt;0,P131&gt;0),"Pick A or B, not both!","")</f>
        <v/>
      </c>
      <c r="L122" s="4255"/>
      <c r="M122" s="2649"/>
      <c r="N122" s="2649"/>
      <c r="O122" s="2649"/>
      <c r="P122" s="2649"/>
      <c r="Q122" s="108"/>
      <c r="R122" s="960"/>
      <c r="S122" s="960"/>
      <c r="T122" s="960"/>
      <c r="U122" s="960"/>
    </row>
    <row r="123" spans="1:21" s="43" customFormat="1" ht="2.25" customHeight="1">
      <c r="A123" s="483"/>
      <c r="B123" s="104"/>
      <c r="D123" s="41"/>
      <c r="F123" s="61"/>
      <c r="M123" s="2649"/>
      <c r="N123" s="2649"/>
      <c r="O123" s="2649"/>
      <c r="P123" s="2649"/>
      <c r="Q123" s="108"/>
      <c r="R123" s="960"/>
      <c r="S123" s="960"/>
      <c r="T123" s="960"/>
      <c r="U123" s="960"/>
    </row>
    <row r="124" spans="1:21" s="43" customFormat="1" ht="12.6" customHeight="1">
      <c r="A124" s="142" t="s">
        <v>1893</v>
      </c>
      <c r="B124" s="163" t="s">
        <v>3368</v>
      </c>
      <c r="D124" s="41"/>
      <c r="F124" s="45" t="s">
        <v>3423</v>
      </c>
      <c r="M124" s="2649">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6390</v>
      </c>
      <c r="D125" s="41"/>
      <c r="F125" s="45"/>
      <c r="M125" s="2649"/>
      <c r="N125" s="381"/>
      <c r="O125" s="2672"/>
      <c r="P125" s="2955"/>
      <c r="Q125" s="108"/>
    </row>
    <row r="126" spans="1:21" s="401" customFormat="1" ht="36.75" customHeight="1">
      <c r="B126" s="423" t="s">
        <v>1896</v>
      </c>
      <c r="C126" s="4086" t="s">
        <v>6391</v>
      </c>
      <c r="D126" s="4086"/>
      <c r="E126" s="4086"/>
      <c r="F126" s="4086"/>
      <c r="G126" s="4086"/>
      <c r="H126" s="4086"/>
      <c r="I126" s="4245" t="s">
        <v>3514</v>
      </c>
      <c r="J126" s="4246"/>
      <c r="K126" s="4246"/>
      <c r="L126" s="4247"/>
      <c r="M126" s="479">
        <v>6</v>
      </c>
      <c r="N126" s="452" t="s">
        <v>1896</v>
      </c>
      <c r="O126" s="2569"/>
      <c r="P126" s="2997"/>
      <c r="Q126" s="1295"/>
      <c r="R126" s="892" t="s">
        <v>4265</v>
      </c>
    </row>
    <row r="127" spans="1:21" s="401" customFormat="1" ht="12" customHeight="1">
      <c r="A127" s="531" t="s">
        <v>1304</v>
      </c>
      <c r="B127" s="423" t="s">
        <v>1898</v>
      </c>
      <c r="C127" s="4086" t="s">
        <v>6385</v>
      </c>
      <c r="D127" s="4086"/>
      <c r="E127" s="4086"/>
      <c r="F127" s="4086"/>
      <c r="G127" s="534"/>
      <c r="I127" s="4248"/>
      <c r="J127" s="4249"/>
      <c r="K127" s="4249"/>
      <c r="L127" s="4250"/>
      <c r="M127" s="72">
        <v>5</v>
      </c>
      <c r="N127" s="421" t="s">
        <v>1898</v>
      </c>
      <c r="O127" s="2570"/>
      <c r="P127" s="2998"/>
      <c r="Q127" s="1295"/>
      <c r="R127" s="892" t="s">
        <v>4265</v>
      </c>
    </row>
    <row r="128" spans="1:21" s="401" customFormat="1" ht="12" customHeight="1">
      <c r="B128" s="423"/>
      <c r="C128" s="4086"/>
      <c r="D128" s="4086"/>
      <c r="E128" s="4086"/>
      <c r="F128" s="4086"/>
      <c r="G128" s="4010" t="s">
        <v>6389</v>
      </c>
      <c r="H128" s="4240"/>
      <c r="I128" s="4248"/>
      <c r="J128" s="4249"/>
      <c r="K128" s="4249"/>
      <c r="L128" s="4250"/>
      <c r="M128" s="4196" t="str">
        <f>IF(AND(O127&gt;0,O126&gt;0),"Pick A1 or A2!","")</f>
        <v/>
      </c>
      <c r="N128" s="4197"/>
      <c r="O128" s="4197"/>
      <c r="P128" s="4197"/>
      <c r="Q128" s="1295"/>
      <c r="R128" s="1260" t="s">
        <v>6566</v>
      </c>
      <c r="S128" s="1260" t="s">
        <v>6384</v>
      </c>
    </row>
    <row r="129" spans="1:21" s="401" customFormat="1" ht="12" customHeight="1">
      <c r="B129" s="423"/>
      <c r="C129" s="4086"/>
      <c r="D129" s="4086"/>
      <c r="E129" s="4086"/>
      <c r="F129" s="4086"/>
      <c r="G129" s="2571"/>
      <c r="H129" s="2999"/>
      <c r="I129" s="4248"/>
      <c r="J129" s="4249"/>
      <c r="K129" s="4249"/>
      <c r="L129" s="4250"/>
      <c r="Q129" s="895"/>
      <c r="R129" s="1626">
        <v>0.25</v>
      </c>
      <c r="S129" s="1626">
        <v>5</v>
      </c>
    </row>
    <row r="130" spans="1:21" s="401" customFormat="1" ht="12" customHeight="1">
      <c r="B130" s="423"/>
      <c r="C130" s="4086"/>
      <c r="D130" s="4086"/>
      <c r="E130" s="4086"/>
      <c r="F130" s="4086"/>
      <c r="G130" s="1673"/>
      <c r="H130" s="1673"/>
      <c r="I130" s="4251"/>
      <c r="J130" s="4252"/>
      <c r="K130" s="4252"/>
      <c r="L130" s="4253"/>
      <c r="M130" s="101"/>
      <c r="N130" s="101"/>
      <c r="O130" s="101"/>
      <c r="P130" s="101"/>
      <c r="Q130" s="895"/>
      <c r="R130" s="1626">
        <v>0.5</v>
      </c>
      <c r="S130" s="1626">
        <v>4.5</v>
      </c>
    </row>
    <row r="131" spans="1:21" s="401" customFormat="1" ht="12" customHeight="1">
      <c r="A131" s="142" t="s">
        <v>1895</v>
      </c>
      <c r="B131" s="972" t="s">
        <v>3369</v>
      </c>
      <c r="C131" s="573"/>
      <c r="D131" s="573"/>
      <c r="F131" s="959" t="s">
        <v>3422</v>
      </c>
      <c r="I131" s="4191" t="s">
        <v>6965</v>
      </c>
      <c r="J131" s="4192"/>
      <c r="K131" s="4192"/>
      <c r="L131" s="4401" t="s">
        <v>6966</v>
      </c>
      <c r="M131" s="2649">
        <v>3</v>
      </c>
      <c r="N131" s="439" t="s">
        <v>1895</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3983</v>
      </c>
      <c r="D132" s="961"/>
      <c r="F132" s="101"/>
      <c r="G132" s="101"/>
      <c r="H132" s="45"/>
      <c r="I132" s="4193"/>
      <c r="J132" s="4194"/>
      <c r="K132" s="4194"/>
      <c r="L132" s="4402"/>
      <c r="M132" s="101"/>
      <c r="N132" s="378" t="s">
        <v>3393</v>
      </c>
      <c r="O132" s="2500"/>
      <c r="P132" s="2965"/>
      <c r="Q132" s="108"/>
      <c r="R132" s="380"/>
      <c r="S132" s="401"/>
      <c r="T132" s="401"/>
      <c r="U132" s="401"/>
    </row>
    <row r="133" spans="1:21" s="43" customFormat="1" ht="11.25" customHeight="1">
      <c r="A133" s="151"/>
      <c r="B133" s="378" t="s">
        <v>3394</v>
      </c>
      <c r="C133" s="170" t="s">
        <v>3982</v>
      </c>
      <c r="D133" s="961"/>
      <c r="F133" s="101"/>
      <c r="G133" s="101"/>
      <c r="H133" s="45"/>
      <c r="I133" s="4312" t="s">
        <v>6968</v>
      </c>
      <c r="J133" s="4313"/>
      <c r="K133" s="4313"/>
      <c r="L133" s="4314"/>
      <c r="M133" s="101"/>
      <c r="N133" s="378" t="s">
        <v>3394</v>
      </c>
      <c r="O133" s="2672"/>
      <c r="P133" s="2955"/>
      <c r="Q133" s="108"/>
      <c r="R133" s="380"/>
      <c r="S133" s="401"/>
      <c r="T133" s="401"/>
      <c r="U133" s="401"/>
    </row>
    <row r="134" spans="1:21" s="401" customFormat="1" ht="12" customHeight="1">
      <c r="A134" s="137"/>
      <c r="B134" s="1319" t="s">
        <v>1896</v>
      </c>
      <c r="C134" s="3962" t="s">
        <v>3470</v>
      </c>
      <c r="D134" s="3962"/>
      <c r="E134" s="3962"/>
      <c r="F134" s="3962"/>
      <c r="G134" s="3962"/>
      <c r="H134" s="4395"/>
      <c r="I134" s="4315"/>
      <c r="J134" s="4316"/>
      <c r="K134" s="4316"/>
      <c r="L134" s="4317"/>
      <c r="M134" s="72">
        <v>3</v>
      </c>
      <c r="N134" s="421" t="s">
        <v>1896</v>
      </c>
      <c r="O134" s="2563">
        <v>3</v>
      </c>
      <c r="P134" s="3000"/>
      <c r="Q134" s="895" t="str">
        <f>IF(OR($O134=$M134,$O134=0,$O134=""),"","*CHECK!*")</f>
        <v/>
      </c>
      <c r="R134" s="892" t="s">
        <v>4265</v>
      </c>
    </row>
    <row r="135" spans="1:21" s="43" customFormat="1" ht="12" customHeight="1">
      <c r="A135" s="531" t="s">
        <v>1304</v>
      </c>
      <c r="B135" s="1319" t="s">
        <v>1898</v>
      </c>
      <c r="C135" s="3962" t="s">
        <v>3471</v>
      </c>
      <c r="D135" s="3962"/>
      <c r="E135" s="3962"/>
      <c r="F135" s="3962"/>
      <c r="G135" s="3962"/>
      <c r="H135" s="4395"/>
      <c r="I135" s="4312" t="s">
        <v>6967</v>
      </c>
      <c r="J135" s="4313"/>
      <c r="K135" s="4313"/>
      <c r="L135" s="4314"/>
      <c r="M135" s="72">
        <v>2</v>
      </c>
      <c r="N135" s="421" t="s">
        <v>1898</v>
      </c>
      <c r="O135" s="2563"/>
      <c r="P135" s="2990"/>
      <c r="Q135" s="895" t="str">
        <f>IF(OR($O135=$M135,$O135=0,$O135=""),"","*CHECK!*")</f>
        <v/>
      </c>
      <c r="R135" s="892" t="s">
        <v>4265</v>
      </c>
    </row>
    <row r="136" spans="1:21" s="43" customFormat="1" ht="21.75" customHeight="1">
      <c r="A136" s="1715" t="s">
        <v>1304</v>
      </c>
      <c r="B136" s="1716" t="s">
        <v>2416</v>
      </c>
      <c r="C136" s="4086" t="s">
        <v>6548</v>
      </c>
      <c r="D136" s="4086"/>
      <c r="E136" s="4086"/>
      <c r="F136" s="4086"/>
      <c r="G136" s="4086"/>
      <c r="H136" s="4002"/>
      <c r="I136" s="4315"/>
      <c r="J136" s="4316"/>
      <c r="K136" s="4316"/>
      <c r="L136" s="4317"/>
      <c r="M136" s="479">
        <v>1</v>
      </c>
      <c r="N136" s="452" t="s">
        <v>2416</v>
      </c>
      <c r="O136" s="2572"/>
      <c r="P136" s="3001"/>
      <c r="Q136" s="895" t="str">
        <f>IF(OR($O136=$M136,$O136=0,$O136=""),"","*CHECK!*")</f>
        <v/>
      </c>
      <c r="R136" s="892" t="s">
        <v>4265</v>
      </c>
    </row>
    <row r="137" spans="1:21" s="43" customFormat="1" ht="12.6" customHeight="1">
      <c r="A137" s="483" t="s">
        <v>2608</v>
      </c>
      <c r="B137" s="163"/>
      <c r="E137" s="41"/>
      <c r="I137" s="4312" t="s">
        <v>6967</v>
      </c>
      <c r="J137" s="4313"/>
      <c r="K137" s="4313"/>
      <c r="L137" s="4314"/>
      <c r="M137" s="72"/>
      <c r="N137" s="72"/>
      <c r="O137" s="72"/>
      <c r="P137" s="72"/>
      <c r="Q137" s="367"/>
      <c r="R137" s="367"/>
    </row>
    <row r="138" spans="1:21" s="101" customFormat="1" ht="12" customHeight="1">
      <c r="A138" s="137"/>
      <c r="B138" s="423" t="s">
        <v>1178</v>
      </c>
      <c r="C138" s="163" t="s">
        <v>6392</v>
      </c>
      <c r="D138" s="163"/>
      <c r="E138" s="163"/>
      <c r="F138" s="163"/>
      <c r="G138" s="163"/>
      <c r="H138" s="163"/>
      <c r="I138" s="4318"/>
      <c r="J138" s="4319"/>
      <c r="K138" s="4319"/>
      <c r="L138" s="4320"/>
      <c r="M138" s="72">
        <v>2</v>
      </c>
      <c r="N138" s="421" t="s">
        <v>1178</v>
      </c>
      <c r="O138" s="2573"/>
      <c r="P138" s="3002"/>
      <c r="Q138" s="895" t="str">
        <f>IF(OR($O138=$M138,$O138=0,$O138=""),"","*CHECK!*")</f>
        <v/>
      </c>
      <c r="R138" s="892" t="s">
        <v>4265</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3"/>
    </row>
    <row r="142" spans="1:21" s="43" customFormat="1" ht="36.75" customHeight="1" thickTop="1" thickBot="1">
      <c r="A142" s="4208" t="s">
        <v>6986</v>
      </c>
      <c r="B142" s="4209"/>
      <c r="C142" s="4209"/>
      <c r="D142" s="4209"/>
      <c r="E142" s="4209"/>
      <c r="F142" s="4209"/>
      <c r="G142" s="4209"/>
      <c r="H142" s="4209"/>
      <c r="I142" s="4209"/>
      <c r="J142" s="4209"/>
      <c r="K142" s="4209"/>
      <c r="L142" s="4209"/>
      <c r="M142" s="4209"/>
      <c r="N142" s="4209"/>
      <c r="O142" s="4209"/>
      <c r="P142" s="4210"/>
      <c r="Q142" s="933" t="s">
        <v>1208</v>
      </c>
      <c r="R142" s="428"/>
    </row>
    <row r="143" spans="1:21" s="101" customFormat="1" ht="11.45" customHeight="1" thickTop="1">
      <c r="A143" s="42"/>
      <c r="B143" s="96" t="s">
        <v>1780</v>
      </c>
      <c r="C143" s="42"/>
      <c r="D143" s="96"/>
      <c r="E143" s="2660"/>
      <c r="F143" s="2660"/>
      <c r="G143" s="2660"/>
      <c r="H143" s="2660"/>
      <c r="I143" s="2660"/>
      <c r="J143" s="2660"/>
      <c r="K143" s="2660"/>
      <c r="L143" s="2660"/>
      <c r="M143" s="2660"/>
      <c r="N143" s="92"/>
      <c r="O143" s="767"/>
      <c r="P143" s="2649"/>
      <c r="Q143" s="414"/>
    </row>
    <row r="144" spans="1:21" s="43" customFormat="1" ht="11.25" customHeight="1">
      <c r="A144" s="3972"/>
      <c r="B144" s="3973"/>
      <c r="C144" s="3973"/>
      <c r="D144" s="3973"/>
      <c r="E144" s="3973"/>
      <c r="F144" s="3973"/>
      <c r="G144" s="3973"/>
      <c r="H144" s="3973"/>
      <c r="I144" s="3973"/>
      <c r="J144" s="3973"/>
      <c r="K144" s="3973"/>
      <c r="L144" s="3973"/>
      <c r="M144" s="3973"/>
      <c r="N144" s="3973"/>
      <c r="O144" s="3973"/>
      <c r="P144" s="3974"/>
      <c r="Q144" s="427"/>
    </row>
    <row r="145" spans="1:19" ht="3" customHeight="1">
      <c r="B145" s="115"/>
      <c r="C145" s="115"/>
      <c r="D145" s="115"/>
      <c r="E145" s="115"/>
      <c r="R145" s="43"/>
    </row>
    <row r="146" spans="1:19" s="43" customFormat="1" ht="3" customHeight="1" thickBot="1">
      <c r="A146" s="42"/>
      <c r="C146" s="2656"/>
      <c r="D146" s="2656"/>
      <c r="E146" s="2656"/>
      <c r="F146" s="2656"/>
      <c r="G146" s="2656"/>
      <c r="H146" s="2656"/>
      <c r="I146" s="2656"/>
      <c r="J146" s="2656"/>
      <c r="K146" s="2656"/>
      <c r="L146" s="2656"/>
      <c r="M146" s="2656"/>
      <c r="N146" s="74"/>
      <c r="O146" s="70"/>
      <c r="P146" s="777"/>
    </row>
    <row r="147" spans="1:19" s="43" customFormat="1" ht="13.5" customHeight="1" thickBot="1">
      <c r="A147" s="151" t="s">
        <v>742</v>
      </c>
      <c r="B147" s="105" t="s">
        <v>6394</v>
      </c>
      <c r="C147" s="2656"/>
      <c r="D147" s="2656"/>
      <c r="E147" s="2656"/>
      <c r="G147" s="1707" t="s">
        <v>3986</v>
      </c>
      <c r="H147" s="1708" t="str">
        <f>'Part I-Project Information'!$H$77</f>
        <v>Family</v>
      </c>
      <c r="M147" s="777">
        <v>3</v>
      </c>
      <c r="N147" s="74"/>
      <c r="O147" s="2574">
        <v>1.5</v>
      </c>
      <c r="P147" s="3003"/>
      <c r="Q147" s="1295" t="str">
        <f>IF(OR($O147&lt;=$M147,$O147=0,$O147=""),"","*CHECK!*")</f>
        <v/>
      </c>
      <c r="R147" s="1690" t="s">
        <v>422</v>
      </c>
      <c r="S147" s="892" t="s">
        <v>4265</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187" t="s">
        <v>6572</v>
      </c>
      <c r="I149" s="4187"/>
      <c r="J149" s="4187"/>
      <c r="K149" s="4187" t="s">
        <v>6573</v>
      </c>
      <c r="L149" s="4187"/>
      <c r="M149" s="2561"/>
      <c r="N149" s="27"/>
    </row>
    <row r="150" spans="1:19" ht="12" customHeight="1">
      <c r="B150" s="2580"/>
      <c r="C150" s="2580"/>
      <c r="D150" s="2580"/>
      <c r="E150" s="2580"/>
      <c r="H150" s="4187"/>
      <c r="I150" s="4187"/>
      <c r="J150" s="4187"/>
      <c r="K150" s="4187"/>
      <c r="L150" s="4187"/>
      <c r="M150" s="2561"/>
      <c r="N150" s="27"/>
    </row>
    <row r="151" spans="1:19" ht="12" customHeight="1">
      <c r="B151" s="2561"/>
      <c r="C151" s="2581" t="s">
        <v>6839</v>
      </c>
      <c r="D151" s="1674"/>
      <c r="E151" s="2561"/>
      <c r="H151" s="4187"/>
      <c r="I151" s="4187"/>
      <c r="J151" s="4187"/>
      <c r="K151" s="4187"/>
      <c r="L151" s="4187"/>
      <c r="M151" s="2561"/>
      <c r="N151" s="27"/>
    </row>
    <row r="152" spans="1:19">
      <c r="B152" s="2582"/>
      <c r="C152" s="4325" t="s">
        <v>6969</v>
      </c>
      <c r="D152" s="4326"/>
      <c r="E152" s="4326"/>
      <c r="F152" s="4326"/>
      <c r="G152" s="4327"/>
      <c r="H152" s="4258" t="s">
        <v>2772</v>
      </c>
      <c r="I152" s="4258"/>
      <c r="J152" s="4258"/>
      <c r="K152" s="4258" t="s">
        <v>2769</v>
      </c>
      <c r="L152" s="4258"/>
      <c r="M152" s="2959"/>
      <c r="N152" s="27"/>
    </row>
    <row r="153" spans="1:19">
      <c r="B153" s="2582"/>
      <c r="C153" s="4322" t="s">
        <v>6970</v>
      </c>
      <c r="D153" s="4323"/>
      <c r="E153" s="4323"/>
      <c r="F153" s="4323"/>
      <c r="G153" s="4324"/>
      <c r="H153" s="4328" t="s">
        <v>2769</v>
      </c>
      <c r="I153" s="4328"/>
      <c r="J153" s="4328"/>
      <c r="K153" s="4328" t="s">
        <v>2769</v>
      </c>
      <c r="L153" s="4328"/>
      <c r="M153" s="2954"/>
      <c r="N153" s="27"/>
    </row>
    <row r="154" spans="1:19" ht="15">
      <c r="B154" s="2582"/>
      <c r="C154" s="4322" t="s">
        <v>6971</v>
      </c>
      <c r="D154" s="4323"/>
      <c r="E154" s="4323"/>
      <c r="F154" s="4323"/>
      <c r="G154" s="4324"/>
      <c r="H154" s="4328" t="s">
        <v>2772</v>
      </c>
      <c r="I154" s="4328"/>
      <c r="J154" s="4328"/>
      <c r="K154" s="4328" t="s">
        <v>2772</v>
      </c>
      <c r="L154" s="4328"/>
      <c r="M154" s="2954"/>
      <c r="N154" s="2561"/>
    </row>
    <row r="155" spans="1:19" ht="15">
      <c r="B155" s="2582"/>
      <c r="C155" s="4322"/>
      <c r="D155" s="4323"/>
      <c r="E155" s="4323"/>
      <c r="F155" s="4323"/>
      <c r="G155" s="4324"/>
      <c r="H155" s="4328"/>
      <c r="I155" s="4328"/>
      <c r="J155" s="4328"/>
      <c r="K155" s="4328"/>
      <c r="L155" s="4328"/>
      <c r="M155" s="2954"/>
      <c r="N155" s="2561"/>
    </row>
    <row r="156" spans="1:19" ht="15">
      <c r="B156" s="2582"/>
      <c r="C156" s="4322"/>
      <c r="D156" s="4323"/>
      <c r="E156" s="4323"/>
      <c r="F156" s="4323"/>
      <c r="G156" s="4324"/>
      <c r="H156" s="4328"/>
      <c r="I156" s="4328"/>
      <c r="J156" s="4328"/>
      <c r="K156" s="4328"/>
      <c r="L156" s="4328"/>
      <c r="M156" s="2954"/>
      <c r="N156" s="2561"/>
    </row>
    <row r="157" spans="1:19" ht="15">
      <c r="B157" s="2582"/>
      <c r="C157" s="4423"/>
      <c r="D157" s="4424"/>
      <c r="E157" s="4424"/>
      <c r="F157" s="4424"/>
      <c r="G157" s="4425"/>
      <c r="H157" s="4237"/>
      <c r="I157" s="4237"/>
      <c r="J157" s="4237"/>
      <c r="K157" s="4237"/>
      <c r="L157" s="4237"/>
      <c r="M157" s="2955"/>
      <c r="N157" s="2561"/>
    </row>
    <row r="158" spans="1:19" s="43" customFormat="1" ht="10.5" customHeight="1" thickBot="1">
      <c r="A158" s="42"/>
      <c r="B158" s="1007" t="s">
        <v>3372</v>
      </c>
      <c r="C158" s="42"/>
      <c r="D158" s="48"/>
      <c r="E158" s="48"/>
      <c r="F158" s="48"/>
      <c r="G158" s="48"/>
      <c r="H158" s="36"/>
      <c r="I158" s="36"/>
      <c r="J158" s="36"/>
      <c r="K158" s="36"/>
      <c r="M158" s="46"/>
      <c r="N158" s="62"/>
      <c r="O158" s="3"/>
      <c r="P158" s="2653"/>
    </row>
    <row r="159" spans="1:19" s="43" customFormat="1" ht="21.75" customHeight="1" thickTop="1" thickBot="1">
      <c r="A159" s="4208" t="s">
        <v>7002</v>
      </c>
      <c r="B159" s="4209"/>
      <c r="C159" s="4209"/>
      <c r="D159" s="4209"/>
      <c r="E159" s="4209"/>
      <c r="F159" s="4209"/>
      <c r="G159" s="4209"/>
      <c r="H159" s="4209"/>
      <c r="I159" s="4209"/>
      <c r="J159" s="4209"/>
      <c r="K159" s="4209"/>
      <c r="L159" s="4209"/>
      <c r="M159" s="4209"/>
      <c r="N159" s="4209"/>
      <c r="O159" s="4209"/>
      <c r="P159" s="4210"/>
      <c r="Q159" s="933" t="s">
        <v>1208</v>
      </c>
    </row>
    <row r="160" spans="1:19" s="43" customFormat="1" ht="10.5" customHeight="1" thickTop="1">
      <c r="A160" s="42"/>
      <c r="B160" s="85" t="s">
        <v>1780</v>
      </c>
      <c r="C160" s="97"/>
      <c r="D160" s="85"/>
      <c r="E160" s="98"/>
      <c r="F160" s="2656"/>
      <c r="G160" s="2656"/>
      <c r="H160" s="2656"/>
      <c r="I160" s="2656"/>
      <c r="J160" s="2656"/>
      <c r="K160" s="2656"/>
      <c r="L160" s="2656"/>
      <c r="M160" s="2656"/>
      <c r="N160" s="74"/>
      <c r="O160" s="70"/>
      <c r="P160" s="2649"/>
      <c r="Q160" s="414"/>
    </row>
    <row r="161" spans="1:26" s="43" customFormat="1" ht="11.25" customHeight="1">
      <c r="A161" s="4161"/>
      <c r="B161" s="4162"/>
      <c r="C161" s="4162"/>
      <c r="D161" s="4162"/>
      <c r="E161" s="4162"/>
      <c r="F161" s="4162"/>
      <c r="G161" s="4162"/>
      <c r="H161" s="4162"/>
      <c r="I161" s="4162"/>
      <c r="J161" s="4162"/>
      <c r="K161" s="4162"/>
      <c r="L161" s="4162"/>
      <c r="M161" s="4162"/>
      <c r="N161" s="4162"/>
      <c r="O161" s="4162"/>
      <c r="P161" s="4163"/>
      <c r="Q161" s="427"/>
      <c r="U161" s="1273"/>
    </row>
    <row r="162" spans="1:26" s="43" customFormat="1" ht="3" customHeight="1" thickBot="1">
      <c r="A162" s="42"/>
      <c r="C162" s="2656"/>
      <c r="D162" s="2656"/>
      <c r="E162" s="2656"/>
      <c r="F162" s="2656"/>
      <c r="G162" s="2656"/>
      <c r="H162" s="2656"/>
      <c r="I162" s="2656"/>
      <c r="J162" s="2656"/>
      <c r="K162" s="2656"/>
      <c r="L162" s="2656"/>
      <c r="M162" s="2656"/>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9">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6428</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c r="P166" s="3004"/>
      <c r="Q166" s="1295" t="str">
        <f>IF(OR($O166=$M166,$O166=0,$O166=""),"","*CHECK!*")</f>
        <v/>
      </c>
      <c r="R166" s="892" t="s">
        <v>4265</v>
      </c>
      <c r="S166" s="1712"/>
      <c r="T166" s="1712"/>
      <c r="U166" s="1712"/>
    </row>
    <row r="167" spans="1:26" s="383" customFormat="1" ht="12" customHeight="1">
      <c r="B167" s="903" t="s">
        <v>2324</v>
      </c>
      <c r="C167" s="4260" t="s">
        <v>6425</v>
      </c>
      <c r="D167" s="4260"/>
      <c r="E167" s="4260"/>
      <c r="F167" s="4260"/>
      <c r="G167" s="4260"/>
      <c r="H167" s="4260"/>
      <c r="I167" s="4260"/>
      <c r="J167" s="4260"/>
      <c r="K167" s="4260"/>
      <c r="L167" s="903"/>
      <c r="M167" s="4270" t="s">
        <v>6302</v>
      </c>
      <c r="N167" s="4270"/>
      <c r="O167" s="4270"/>
      <c r="P167" s="4270"/>
      <c r="S167" s="1712"/>
      <c r="T167" s="1712"/>
      <c r="U167" s="1712"/>
      <c r="V167" s="1408"/>
      <c r="W167" s="1408"/>
      <c r="X167" s="1408"/>
      <c r="Y167" s="1408"/>
      <c r="Z167" s="1408"/>
    </row>
    <row r="168" spans="1:26" s="43" customFormat="1" ht="12.75" customHeight="1">
      <c r="A168" s="364"/>
      <c r="B168" s="366"/>
      <c r="C168" s="4260"/>
      <c r="D168" s="4260"/>
      <c r="E168" s="4260"/>
      <c r="F168" s="4260"/>
      <c r="G168" s="4260"/>
      <c r="H168" s="4260"/>
      <c r="I168" s="4260"/>
      <c r="J168" s="4260"/>
      <c r="K168" s="4260"/>
      <c r="L168" s="903" t="s">
        <v>2324</v>
      </c>
      <c r="M168" s="4267" t="s">
        <v>3424</v>
      </c>
      <c r="N168" s="4268"/>
      <c r="O168" s="4268"/>
      <c r="P168" s="4269"/>
      <c r="S168" s="1712"/>
      <c r="T168" s="1712"/>
      <c r="U168" s="1712"/>
    </row>
    <row r="169" spans="1:26" s="33" customFormat="1" ht="12.75" customHeight="1">
      <c r="B169" s="366" t="s">
        <v>2325</v>
      </c>
      <c r="C169" s="133" t="s">
        <v>4159</v>
      </c>
      <c r="D169" s="463"/>
      <c r="E169" s="463"/>
      <c r="F169" s="463"/>
      <c r="G169" s="463"/>
      <c r="H169" s="463"/>
      <c r="L169" s="366" t="s">
        <v>2325</v>
      </c>
      <c r="M169" s="4264" t="s">
        <v>3424</v>
      </c>
      <c r="N169" s="4265"/>
      <c r="O169" s="4265"/>
      <c r="P169" s="4266"/>
      <c r="S169" s="1712"/>
      <c r="T169" s="1712"/>
      <c r="U169" s="1712"/>
      <c r="V169" s="522"/>
      <c r="W169" s="522"/>
      <c r="X169" s="522"/>
      <c r="Y169" s="522"/>
      <c r="Z169" s="522"/>
    </row>
    <row r="170" spans="1:26" s="33" customFormat="1" ht="12.75" customHeight="1">
      <c r="B170" s="366" t="s">
        <v>2326</v>
      </c>
      <c r="C170" s="463" t="s">
        <v>6426</v>
      </c>
      <c r="D170" s="463"/>
      <c r="E170" s="463"/>
      <c r="F170" s="463"/>
      <c r="G170" s="463"/>
      <c r="H170" s="463"/>
      <c r="L170" s="366" t="s">
        <v>2326</v>
      </c>
      <c r="M170" s="4264" t="s">
        <v>3424</v>
      </c>
      <c r="N170" s="4265"/>
      <c r="O170" s="4265"/>
      <c r="P170" s="4266"/>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6427</v>
      </c>
      <c r="D171" s="463"/>
      <c r="E171" s="463"/>
      <c r="F171" s="463"/>
      <c r="G171" s="463"/>
      <c r="L171" s="366" t="s">
        <v>2327</v>
      </c>
      <c r="M171" s="4261" t="s">
        <v>3424</v>
      </c>
      <c r="N171" s="4262"/>
      <c r="O171" s="4262"/>
      <c r="P171" s="4263"/>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225" t="s">
        <v>6431</v>
      </c>
      <c r="D174" s="4225"/>
      <c r="E174" s="4225"/>
      <c r="F174" s="4225"/>
      <c r="G174" s="4225"/>
      <c r="H174" s="4225"/>
      <c r="I174" s="4225"/>
      <c r="J174" s="4225"/>
      <c r="K174" s="4225"/>
      <c r="L174" s="4225"/>
      <c r="M174" s="971">
        <v>1</v>
      </c>
      <c r="N174" s="903" t="s">
        <v>4285</v>
      </c>
      <c r="O174" s="2585"/>
      <c r="P174" s="3005"/>
      <c r="Q174" s="1295" t="str">
        <f>IF(OR($O174=$M174,$O174=0,$O174=""),"","*CHECK!*")</f>
        <v/>
      </c>
      <c r="R174" s="892" t="s">
        <v>4265</v>
      </c>
    </row>
    <row r="175" spans="1:26" ht="36.75" customHeight="1">
      <c r="A175" s="478"/>
      <c r="B175" s="379" t="s">
        <v>2325</v>
      </c>
      <c r="C175" s="4225" t="s">
        <v>6432</v>
      </c>
      <c r="D175" s="4225"/>
      <c r="E175" s="4225"/>
      <c r="F175" s="4225"/>
      <c r="G175" s="4225"/>
      <c r="H175" s="4225"/>
      <c r="I175" s="4225"/>
      <c r="J175" s="4225"/>
      <c r="K175" s="4225"/>
      <c r="L175" s="4225"/>
      <c r="M175" s="971">
        <v>1</v>
      </c>
      <c r="N175" s="903" t="s">
        <v>6563</v>
      </c>
      <c r="O175" s="2586"/>
      <c r="P175" s="3006"/>
      <c r="Q175" s="1295" t="str">
        <f>IF(OR($O175=$M175,$O175=0,$O175=""),"","*CHECK!*")</f>
        <v/>
      </c>
      <c r="R175" s="892" t="s">
        <v>4265</v>
      </c>
    </row>
    <row r="176" spans="1:26" ht="12" customHeight="1">
      <c r="A176" s="478"/>
      <c r="B176" s="366" t="s">
        <v>2326</v>
      </c>
      <c r="C176" s="898" t="s">
        <v>6565</v>
      </c>
      <c r="D176" s="902"/>
      <c r="E176" s="902"/>
      <c r="F176" s="902"/>
      <c r="G176" s="902"/>
      <c r="H176" s="902"/>
      <c r="I176" s="902"/>
      <c r="J176" s="902"/>
      <c r="K176" s="902"/>
      <c r="L176" s="902"/>
      <c r="M176" s="2661">
        <v>1</v>
      </c>
      <c r="N176" s="378" t="s">
        <v>6564</v>
      </c>
      <c r="O176" s="2587"/>
      <c r="P176" s="3007"/>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c r="P178" s="3008"/>
      <c r="Q178" s="895" t="str">
        <f>IF(OR($O178=$M178,$O178=0,$O178=""),"","*CHECK!*")</f>
        <v/>
      </c>
      <c r="R178" s="892" t="s">
        <v>4265</v>
      </c>
    </row>
    <row r="179" spans="1:23" s="101" customFormat="1" ht="10.5" customHeight="1" thickBot="1">
      <c r="A179" s="42"/>
      <c r="B179" s="1007" t="s">
        <v>3372</v>
      </c>
      <c r="C179" s="42"/>
      <c r="D179" s="48"/>
      <c r="E179" s="48"/>
      <c r="F179" s="48"/>
      <c r="G179" s="48"/>
      <c r="H179" s="36"/>
      <c r="I179" s="36"/>
      <c r="J179" s="36"/>
      <c r="K179" s="36"/>
      <c r="M179" s="46"/>
      <c r="N179" s="6"/>
      <c r="O179" s="3"/>
      <c r="P179" s="2649"/>
    </row>
    <row r="180" spans="1:23" s="43" customFormat="1" ht="21.75" customHeight="1" thickTop="1" thickBot="1">
      <c r="A180" s="4208" t="s">
        <v>2933</v>
      </c>
      <c r="B180" s="4209"/>
      <c r="C180" s="4209"/>
      <c r="D180" s="4209"/>
      <c r="E180" s="4209"/>
      <c r="F180" s="4209"/>
      <c r="G180" s="4209"/>
      <c r="H180" s="4209"/>
      <c r="I180" s="4209"/>
      <c r="J180" s="4209"/>
      <c r="K180" s="4209"/>
      <c r="L180" s="4209"/>
      <c r="M180" s="4209"/>
      <c r="N180" s="4209"/>
      <c r="O180" s="4209"/>
      <c r="P180" s="4210"/>
      <c r="Q180" s="933" t="s">
        <v>1208</v>
      </c>
    </row>
    <row r="181" spans="1:23" s="101" customFormat="1" ht="11.45" customHeight="1" thickTop="1">
      <c r="A181" s="42"/>
      <c r="B181" s="96" t="s">
        <v>1780</v>
      </c>
      <c r="C181" s="42"/>
      <c r="D181" s="96"/>
      <c r="E181" s="2660"/>
      <c r="F181" s="2660"/>
      <c r="G181" s="2660"/>
      <c r="H181" s="2660"/>
      <c r="I181" s="2660"/>
      <c r="J181" s="2660"/>
      <c r="K181" s="2660"/>
      <c r="L181" s="2660"/>
      <c r="M181" s="2660"/>
      <c r="N181" s="92"/>
      <c r="O181" s="767"/>
      <c r="P181" s="2649"/>
      <c r="Q181" s="414"/>
    </row>
    <row r="182" spans="1:23" s="43" customFormat="1" ht="11.25" customHeight="1">
      <c r="A182" s="4161"/>
      <c r="B182" s="4162"/>
      <c r="C182" s="4162"/>
      <c r="D182" s="4162"/>
      <c r="E182" s="4162"/>
      <c r="F182" s="4162"/>
      <c r="G182" s="4162"/>
      <c r="H182" s="4162"/>
      <c r="I182" s="4162"/>
      <c r="J182" s="4162"/>
      <c r="K182" s="4162"/>
      <c r="L182" s="4162"/>
      <c r="M182" s="4162"/>
      <c r="N182" s="4162"/>
      <c r="O182" s="4162"/>
      <c r="P182" s="4163"/>
      <c r="Q182" s="427"/>
    </row>
    <row r="183" spans="1:23" s="43" customFormat="1" ht="3" customHeight="1" thickBot="1">
      <c r="A183" s="42"/>
      <c r="C183" s="2656"/>
      <c r="D183" s="2656"/>
      <c r="E183" s="2656"/>
      <c r="F183" s="2656"/>
      <c r="G183" s="2656"/>
      <c r="H183" s="2656"/>
      <c r="I183" s="2656"/>
      <c r="J183" s="2656"/>
      <c r="K183" s="2656"/>
      <c r="L183" s="2656"/>
      <c r="M183" s="2656"/>
      <c r="N183" s="74"/>
      <c r="O183" s="70"/>
      <c r="P183" s="777"/>
    </row>
    <row r="184" spans="1:23" s="43" customFormat="1" ht="13.5" customHeight="1" thickBot="1">
      <c r="A184" s="151" t="s">
        <v>407</v>
      </c>
      <c r="B184" s="105" t="s">
        <v>3487</v>
      </c>
      <c r="C184" s="2656"/>
      <c r="D184" s="2656"/>
      <c r="E184" s="2656"/>
      <c r="F184" s="2656"/>
      <c r="G184" s="2656"/>
      <c r="H184" s="2656"/>
      <c r="I184" s="2656"/>
      <c r="J184" s="2656"/>
      <c r="K184" s="2656"/>
      <c r="L184" s="2656"/>
      <c r="M184" s="777">
        <v>3</v>
      </c>
      <c r="N184" s="74"/>
      <c r="O184" s="70"/>
      <c r="P184" s="965"/>
      <c r="Q184" s="108" t="s">
        <v>422</v>
      </c>
      <c r="R184" s="892" t="s">
        <v>2554</v>
      </c>
    </row>
    <row r="185" spans="1:23" s="43" customFormat="1" ht="13.5" customHeight="1">
      <c r="A185" s="151"/>
      <c r="B185" s="102" t="s">
        <v>3827</v>
      </c>
      <c r="C185" s="2656"/>
      <c r="D185" s="2656"/>
      <c r="E185" s="2656"/>
      <c r="F185" s="2656"/>
      <c r="G185" s="2656"/>
      <c r="H185" s="2656"/>
      <c r="L185" s="1276" t="str">
        <f>IF(OR(O$147&gt;0,O$199&gt;0),"Applicant is ineligible for points in this section!  Points claimed in VI or IX.","")</f>
        <v>Applicant is ineligible for points in this section!  Points claimed in VI or IX.</v>
      </c>
      <c r="M185" s="777"/>
      <c r="N185" s="74"/>
      <c r="O185" s="2493"/>
      <c r="P185" s="3009"/>
      <c r="Q185" s="108"/>
      <c r="R185" s="1713"/>
      <c r="S185" s="1713"/>
      <c r="T185" s="1713"/>
      <c r="U185" s="1713"/>
    </row>
    <row r="186" spans="1:23" s="43" customFormat="1" ht="13.5" customHeight="1">
      <c r="A186" s="151"/>
      <c r="B186" s="2588" t="s">
        <v>6550</v>
      </c>
      <c r="C186" s="2656"/>
      <c r="D186" s="2656"/>
      <c r="E186" s="2656"/>
      <c r="F186" s="2656"/>
      <c r="G186" s="2656"/>
      <c r="H186" s="2656"/>
      <c r="L186" s="1276"/>
      <c r="M186" s="777"/>
      <c r="N186" s="777"/>
      <c r="O186" s="777"/>
      <c r="P186" s="777"/>
      <c r="Q186" s="108"/>
      <c r="R186" s="1713"/>
      <c r="S186" s="1713"/>
      <c r="T186" s="1713"/>
      <c r="U186" s="1713"/>
    </row>
    <row r="187" spans="1:23" ht="11.45" customHeight="1">
      <c r="A187" s="137" t="s">
        <v>719</v>
      </c>
      <c r="B187" s="175" t="s">
        <v>6470</v>
      </c>
      <c r="D187" s="33"/>
      <c r="G187" s="449"/>
      <c r="N187" s="27"/>
      <c r="O187" s="485"/>
      <c r="P187" s="485"/>
      <c r="Q187" s="2638"/>
    </row>
    <row r="188" spans="1:23" s="1407" customFormat="1" ht="12.75" customHeight="1">
      <c r="B188" s="423" t="s">
        <v>1896</v>
      </c>
      <c r="C188" s="4260" t="s">
        <v>6467</v>
      </c>
      <c r="D188" s="4260"/>
      <c r="E188" s="4260"/>
      <c r="F188" s="4260"/>
      <c r="G188" s="4260"/>
      <c r="H188" s="4260"/>
      <c r="I188" s="4260"/>
      <c r="J188" s="4260"/>
      <c r="K188" s="4260"/>
      <c r="L188" s="4260"/>
      <c r="M188" s="966" t="s">
        <v>719</v>
      </c>
      <c r="N188" s="381" t="s">
        <v>1896</v>
      </c>
      <c r="O188" s="2502"/>
      <c r="P188" s="2968"/>
      <c r="Q188" s="1013"/>
      <c r="V188" s="1669"/>
      <c r="W188" s="1669"/>
    </row>
    <row r="189" spans="1:23" s="33" customFormat="1" ht="12.75" customHeight="1">
      <c r="A189" s="478"/>
      <c r="B189" s="423" t="s">
        <v>1898</v>
      </c>
      <c r="C189" s="419" t="s">
        <v>6468</v>
      </c>
      <c r="D189" s="848"/>
      <c r="E189" s="848"/>
      <c r="F189" s="848"/>
      <c r="G189" s="848"/>
      <c r="H189" s="848"/>
      <c r="I189" s="848"/>
      <c r="J189" s="848"/>
      <c r="K189" s="848"/>
      <c r="L189" s="848"/>
      <c r="M189" s="848"/>
      <c r="N189" s="381" t="s">
        <v>1898</v>
      </c>
      <c r="O189" s="2667"/>
      <c r="P189" s="2954"/>
      <c r="Q189" s="901"/>
      <c r="V189" s="1008"/>
      <c r="W189" s="1008"/>
    </row>
    <row r="190" spans="1:23" s="33" customFormat="1" ht="22.5" customHeight="1">
      <c r="A190" s="478"/>
      <c r="B190" s="423" t="s">
        <v>2416</v>
      </c>
      <c r="C190" s="4225" t="s">
        <v>6471</v>
      </c>
      <c r="D190" s="4225"/>
      <c r="E190" s="4225"/>
      <c r="F190" s="4225"/>
      <c r="G190" s="4225"/>
      <c r="H190" s="4225"/>
      <c r="I190" s="4225"/>
      <c r="J190" s="4225"/>
      <c r="K190" s="4225"/>
      <c r="L190" s="4225"/>
      <c r="M190" s="899"/>
      <c r="N190" s="381" t="s">
        <v>2416</v>
      </c>
      <c r="O190" s="2659"/>
      <c r="P190" s="2963"/>
      <c r="Q190" s="901"/>
      <c r="V190" s="1008"/>
      <c r="W190" s="1008"/>
    </row>
    <row r="191" spans="1:23" ht="11.45" customHeight="1">
      <c r="A191" s="137" t="s">
        <v>2021</v>
      </c>
      <c r="B191" s="175" t="s">
        <v>6469</v>
      </c>
      <c r="D191" s="33"/>
      <c r="G191" s="449"/>
      <c r="N191" s="27"/>
      <c r="O191" s="485"/>
      <c r="P191" s="485"/>
      <c r="Q191" s="2638"/>
    </row>
    <row r="192" spans="1:23" s="1407" customFormat="1" ht="23.25" customHeight="1">
      <c r="B192" s="423" t="s">
        <v>1896</v>
      </c>
      <c r="C192" s="4260" t="s">
        <v>6472</v>
      </c>
      <c r="D192" s="4260"/>
      <c r="E192" s="4260"/>
      <c r="F192" s="4260"/>
      <c r="G192" s="4260"/>
      <c r="H192" s="4260"/>
      <c r="I192" s="4260"/>
      <c r="J192" s="4260"/>
      <c r="K192" s="4260"/>
      <c r="L192" s="4260"/>
      <c r="M192" s="966" t="s">
        <v>2021</v>
      </c>
      <c r="N192" s="381" t="s">
        <v>1896</v>
      </c>
      <c r="O192" s="2502"/>
      <c r="P192" s="2968"/>
      <c r="Q192" s="1013"/>
      <c r="V192" s="1669"/>
      <c r="W192" s="1669"/>
    </row>
    <row r="193" spans="1:24" s="33" customFormat="1" ht="23.25" customHeight="1">
      <c r="A193" s="478"/>
      <c r="B193" s="423" t="s">
        <v>1898</v>
      </c>
      <c r="C193" s="4225" t="s">
        <v>6551</v>
      </c>
      <c r="D193" s="4225"/>
      <c r="E193" s="4225"/>
      <c r="F193" s="4225"/>
      <c r="G193" s="4225"/>
      <c r="H193" s="4225"/>
      <c r="I193" s="4225"/>
      <c r="J193" s="4225"/>
      <c r="K193" s="4225"/>
      <c r="L193" s="4225"/>
      <c r="M193" s="848"/>
      <c r="N193" s="381" t="s">
        <v>1898</v>
      </c>
      <c r="O193" s="2659"/>
      <c r="P193" s="2963"/>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3"/>
    </row>
    <row r="195" spans="1:24" s="43" customFormat="1" ht="45.6" customHeight="1" thickTop="1" thickBot="1">
      <c r="A195" s="4283" t="s">
        <v>2933</v>
      </c>
      <c r="B195" s="4284"/>
      <c r="C195" s="4284"/>
      <c r="D195" s="4284"/>
      <c r="E195" s="4284"/>
      <c r="F195" s="4284"/>
      <c r="G195" s="4284"/>
      <c r="H195" s="4284"/>
      <c r="I195" s="4284"/>
      <c r="J195" s="4284"/>
      <c r="K195" s="4284"/>
      <c r="L195" s="4284"/>
      <c r="M195" s="4284"/>
      <c r="N195" s="4284"/>
      <c r="O195" s="4284"/>
      <c r="P195" s="4285"/>
      <c r="Q195" s="933" t="s">
        <v>1208</v>
      </c>
    </row>
    <row r="196" spans="1:24" s="43" customFormat="1" ht="10.5" customHeight="1" thickTop="1">
      <c r="A196" s="42"/>
      <c r="B196" s="85" t="s">
        <v>1780</v>
      </c>
      <c r="C196" s="42"/>
      <c r="D196" s="85"/>
      <c r="E196" s="2656"/>
      <c r="F196" s="2656"/>
      <c r="G196" s="2656"/>
      <c r="H196" s="2656"/>
      <c r="I196" s="2656"/>
      <c r="J196" s="2656"/>
      <c r="K196" s="2656"/>
      <c r="L196" s="2656"/>
      <c r="M196" s="2656"/>
      <c r="N196" s="74"/>
      <c r="O196" s="70"/>
      <c r="P196" s="2649"/>
      <c r="Q196" s="414"/>
    </row>
    <row r="197" spans="1:24" s="43" customFormat="1" ht="22.15" customHeight="1">
      <c r="A197" s="4280"/>
      <c r="B197" s="4281"/>
      <c r="C197" s="4281"/>
      <c r="D197" s="4281"/>
      <c r="E197" s="4281"/>
      <c r="F197" s="4281"/>
      <c r="G197" s="4281"/>
      <c r="H197" s="4281"/>
      <c r="I197" s="4281"/>
      <c r="J197" s="4281"/>
      <c r="K197" s="4281"/>
      <c r="L197" s="4281"/>
      <c r="M197" s="4281"/>
      <c r="N197" s="4281"/>
      <c r="O197" s="4281"/>
      <c r="P197" s="4282"/>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9">
        <v>10</v>
      </c>
      <c r="N199" s="7"/>
      <c r="O199" s="944">
        <f>MIN($M$199,O201+O205)</f>
        <v>5</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v>3</v>
      </c>
      <c r="P201" s="3008"/>
      <c r="Q201" s="1295" t="str">
        <f>IF(O201&lt;=M201,"","*CHECK!*")</f>
        <v/>
      </c>
      <c r="R201" s="892" t="s">
        <v>4265</v>
      </c>
      <c r="S201" s="1714"/>
      <c r="T201" s="1714"/>
      <c r="U201" s="1714"/>
    </row>
    <row r="202" spans="1:24" ht="12.75" customHeight="1">
      <c r="B202" s="2589"/>
      <c r="C202" s="133" t="s">
        <v>6552</v>
      </c>
      <c r="D202" s="2590"/>
      <c r="E202" s="2591"/>
      <c r="F202" s="2591"/>
      <c r="G202" s="2590"/>
      <c r="H202" s="2590"/>
      <c r="I202" s="2590"/>
      <c r="J202" s="4233" t="s">
        <v>6972</v>
      </c>
      <c r="K202" s="4234"/>
      <c r="L202" s="4235"/>
      <c r="M202" s="4236"/>
      <c r="N202" s="967"/>
      <c r="R202" s="416"/>
      <c r="S202" s="2590"/>
    </row>
    <row r="203" spans="1:24" ht="12.75" customHeight="1">
      <c r="C203" s="2592" t="s">
        <v>6553</v>
      </c>
      <c r="D203" s="418"/>
      <c r="J203" s="4230"/>
      <c r="K203" s="4231"/>
      <c r="L203" s="4231"/>
      <c r="M203" s="4232"/>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6473</v>
      </c>
      <c r="C205" s="52"/>
      <c r="E205" s="532"/>
      <c r="G205" s="2671" t="s">
        <v>6534</v>
      </c>
      <c r="H205" s="2593">
        <v>2019</v>
      </c>
      <c r="K205" s="378"/>
      <c r="L205" s="378"/>
      <c r="M205" s="967">
        <v>5</v>
      </c>
      <c r="N205" s="378" t="s">
        <v>1895</v>
      </c>
      <c r="O205" s="2573">
        <v>2</v>
      </c>
      <c r="P205" s="3008"/>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6479</v>
      </c>
      <c r="E207" s="418"/>
      <c r="F207" s="4229" t="s">
        <v>6478</v>
      </c>
      <c r="G207" s="4229"/>
      <c r="H207" s="4229"/>
      <c r="I207" s="4229"/>
      <c r="J207" s="4229"/>
      <c r="K207" s="4229"/>
      <c r="L207" s="4229"/>
      <c r="M207" s="418"/>
      <c r="N207" s="27"/>
      <c r="O207" s="27"/>
      <c r="P207" s="27"/>
    </row>
    <row r="208" spans="1:24" ht="13.5" customHeight="1">
      <c r="B208" s="484"/>
      <c r="C208" s="418"/>
      <c r="D208" s="133" t="s">
        <v>6476</v>
      </c>
      <c r="E208" s="133"/>
      <c r="F208" s="4297" t="s">
        <v>6973</v>
      </c>
      <c r="G208" s="4298"/>
      <c r="H208" s="4298"/>
      <c r="I208" s="4299"/>
      <c r="J208" s="4226"/>
      <c r="K208" s="4227"/>
      <c r="L208" s="4227"/>
      <c r="M208" s="4228"/>
      <c r="N208" s="27"/>
    </row>
    <row r="209" spans="1:22" ht="13.5" customHeight="1">
      <c r="C209" s="418"/>
      <c r="D209" s="133" t="s">
        <v>6477</v>
      </c>
      <c r="E209" s="133"/>
      <c r="F209" s="4293" t="s">
        <v>6973</v>
      </c>
      <c r="G209" s="4294"/>
      <c r="H209" s="4294"/>
      <c r="I209" s="4295"/>
      <c r="J209" s="4222"/>
      <c r="K209" s="4223"/>
      <c r="L209" s="4223"/>
      <c r="M209" s="4224"/>
      <c r="N209" s="2599" t="str">
        <f>IF(P205&lt;=N205,"","*CHECK!*")</f>
        <v/>
      </c>
    </row>
    <row r="210" spans="1:22" ht="13.5" customHeight="1">
      <c r="B210" s="484"/>
      <c r="C210" s="418"/>
      <c r="D210" s="133" t="s">
        <v>6474</v>
      </c>
      <c r="E210" s="133"/>
      <c r="F210" s="4293" t="s">
        <v>6974</v>
      </c>
      <c r="G210" s="4294"/>
      <c r="H210" s="4294"/>
      <c r="I210" s="4295"/>
      <c r="J210" s="4222"/>
      <c r="K210" s="4223"/>
      <c r="L210" s="4223"/>
      <c r="M210" s="4224"/>
      <c r="N210" s="27"/>
    </row>
    <row r="211" spans="1:22" ht="13.5" customHeight="1">
      <c r="B211" s="418"/>
      <c r="C211" s="418"/>
      <c r="D211" s="133" t="s">
        <v>6475</v>
      </c>
      <c r="E211" s="133"/>
      <c r="F211" s="4290" t="s">
        <v>6974</v>
      </c>
      <c r="G211" s="4291"/>
      <c r="H211" s="4291"/>
      <c r="I211" s="4292"/>
      <c r="J211" s="4367"/>
      <c r="K211" s="4368"/>
      <c r="L211" s="4368"/>
      <c r="M211" s="4369"/>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3"/>
    </row>
    <row r="215" spans="1:22" s="43" customFormat="1" ht="34.9" customHeight="1" thickTop="1" thickBot="1">
      <c r="A215" s="4208" t="s">
        <v>6987</v>
      </c>
      <c r="B215" s="4209"/>
      <c r="C215" s="4209"/>
      <c r="D215" s="4209"/>
      <c r="E215" s="4209"/>
      <c r="F215" s="4209"/>
      <c r="G215" s="4209"/>
      <c r="H215" s="4209"/>
      <c r="I215" s="4209"/>
      <c r="J215" s="4209"/>
      <c r="K215" s="4209"/>
      <c r="L215" s="4209"/>
      <c r="M215" s="4209"/>
      <c r="N215" s="4209"/>
      <c r="O215" s="4209"/>
      <c r="P215" s="4210"/>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6"/>
      <c r="F217" s="2656"/>
      <c r="G217" s="2656"/>
      <c r="H217" s="2656"/>
      <c r="I217" s="2656"/>
      <c r="J217" s="2656"/>
      <c r="K217" s="2656"/>
      <c r="L217" s="2656"/>
      <c r="M217" s="2656"/>
      <c r="N217" s="74"/>
      <c r="O217" s="70"/>
      <c r="P217" s="2649"/>
      <c r="Q217" s="414"/>
    </row>
    <row r="218" spans="1:22" s="43" customFormat="1" ht="11.25" customHeight="1">
      <c r="A218" s="4280"/>
      <c r="B218" s="4281"/>
      <c r="C218" s="4281"/>
      <c r="D218" s="4281"/>
      <c r="E218" s="4281"/>
      <c r="F218" s="4281"/>
      <c r="G218" s="4281"/>
      <c r="H218" s="4281"/>
      <c r="I218" s="4281"/>
      <c r="J218" s="4281"/>
      <c r="K218" s="4281"/>
      <c r="L218" s="4281"/>
      <c r="M218" s="4281"/>
      <c r="N218" s="4281"/>
      <c r="O218" s="4281"/>
      <c r="P218" s="4282"/>
      <c r="Q218" s="427"/>
    </row>
    <row r="219" spans="1:22" s="43" customFormat="1" ht="5.25" customHeight="1" thickBot="1">
      <c r="A219" s="42"/>
      <c r="D219" s="39"/>
      <c r="E219" s="36"/>
      <c r="F219" s="777"/>
      <c r="G219" s="777"/>
      <c r="H219" s="777"/>
      <c r="I219" s="777"/>
      <c r="J219" s="783"/>
      <c r="K219" s="783"/>
      <c r="L219" s="783"/>
      <c r="M219" s="60"/>
      <c r="N219" s="777"/>
      <c r="O219" s="2653"/>
      <c r="P219" s="3"/>
    </row>
    <row r="220" spans="1:22" ht="13.5" customHeight="1" thickBot="1">
      <c r="A220" s="151" t="s">
        <v>347</v>
      </c>
      <c r="B220" s="1403" t="s">
        <v>4239</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1" t="s">
        <v>3273</v>
      </c>
      <c r="H221" s="1277">
        <f>IF('Part VI-Revenues &amp; Expenses'!$P$67=0,0,'Part VI-Revenues &amp; Expenses'!$P$64/'Part VI-Revenues &amp; Expenses'!$P$67)</f>
        <v>0.1111111111111111</v>
      </c>
      <c r="J221" s="449" t="s">
        <v>4162</v>
      </c>
      <c r="K221" s="4378" t="str">
        <f>'Part I-Project Information'!$K$94</f>
        <v>40% of Units at 60% of AMI</v>
      </c>
      <c r="L221" s="4379"/>
      <c r="M221" s="60"/>
      <c r="N221" s="777"/>
      <c r="O221" s="2653"/>
      <c r="P221" s="3"/>
    </row>
    <row r="222" spans="1:22" ht="12" customHeight="1">
      <c r="A222" s="1401" t="s">
        <v>1893</v>
      </c>
      <c r="B222" s="1404" t="s">
        <v>4160</v>
      </c>
      <c r="C222" s="404"/>
      <c r="D222" s="418" t="s">
        <v>4161</v>
      </c>
      <c r="M222" s="72">
        <v>1</v>
      </c>
      <c r="N222" s="439" t="s">
        <v>1893</v>
      </c>
      <c r="O222" s="2600">
        <v>1</v>
      </c>
      <c r="P222" s="3010"/>
      <c r="Q222" s="895" t="str">
        <f>IF(OR($O222=$M222,$O222=0,$O222=""),"","*CHECK!*")</f>
        <v/>
      </c>
      <c r="R222" s="892" t="s">
        <v>4265</v>
      </c>
    </row>
    <row r="223" spans="1:22" ht="12" customHeight="1">
      <c r="A223" s="1401" t="s">
        <v>1895</v>
      </c>
      <c r="B223" s="1404" t="s">
        <v>3976</v>
      </c>
      <c r="C223" s="404"/>
      <c r="D223" s="418" t="s">
        <v>4244</v>
      </c>
      <c r="M223" s="80">
        <v>1</v>
      </c>
      <c r="N223" s="439" t="s">
        <v>1895</v>
      </c>
      <c r="O223" s="2564"/>
      <c r="P223" s="2991"/>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6"/>
      <c r="F225" s="2656"/>
      <c r="G225" s="2656"/>
      <c r="H225" s="2656"/>
      <c r="I225" s="2656"/>
      <c r="J225" s="2656"/>
      <c r="K225" s="2656"/>
      <c r="L225" s="2656"/>
      <c r="M225" s="2656"/>
      <c r="N225" s="74"/>
      <c r="O225" s="70"/>
      <c r="P225" s="2649"/>
      <c r="Q225" s="414"/>
    </row>
    <row r="226" spans="1:27" s="43" customFormat="1" ht="11.25" customHeight="1">
      <c r="A226" s="4280"/>
      <c r="B226" s="4281"/>
      <c r="C226" s="4281"/>
      <c r="D226" s="4281"/>
      <c r="E226" s="4281"/>
      <c r="F226" s="4281"/>
      <c r="G226" s="4281"/>
      <c r="H226" s="4281"/>
      <c r="I226" s="4281"/>
      <c r="J226" s="4281"/>
      <c r="K226" s="4281"/>
      <c r="L226" s="4281"/>
      <c r="M226" s="4281"/>
      <c r="N226" s="4281"/>
      <c r="O226" s="4281"/>
      <c r="P226" s="4282"/>
      <c r="Q226" s="427"/>
    </row>
    <row r="227" spans="1:27" s="43" customFormat="1" ht="5.25" customHeight="1" thickBot="1">
      <c r="A227" s="42"/>
      <c r="D227" s="39"/>
      <c r="E227" s="36"/>
      <c r="F227" s="777"/>
      <c r="G227" s="777"/>
      <c r="H227" s="777"/>
      <c r="I227" s="777"/>
      <c r="J227" s="783"/>
      <c r="K227" s="783"/>
      <c r="L227" s="783"/>
      <c r="M227" s="60"/>
      <c r="N227" s="777"/>
      <c r="O227" s="2653"/>
      <c r="P227" s="3"/>
    </row>
    <row r="228" spans="1:27" s="101" customFormat="1" ht="13.5" customHeight="1" thickBot="1">
      <c r="A228" s="151" t="s">
        <v>348</v>
      </c>
      <c r="B228" s="105" t="s">
        <v>3488</v>
      </c>
      <c r="C228" s="91"/>
      <c r="D228" s="59"/>
      <c r="E228" s="59"/>
      <c r="G228" s="1710"/>
      <c r="H228" s="170"/>
      <c r="I228" s="170"/>
      <c r="J228" s="170"/>
      <c r="K228" s="170"/>
      <c r="L228" s="170"/>
      <c r="M228" s="2649">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288" t="str">
        <f>IF(OR(SUM(T230:T231)&gt;1,SUM(Q230:Q231)&gt;1),"Only one category can be met by other means!","")</f>
        <v/>
      </c>
      <c r="N230" s="439" t="s">
        <v>1893</v>
      </c>
      <c r="O230" s="2492"/>
      <c r="P230" s="2953"/>
      <c r="Q230" s="914">
        <f>IF(L230="Yes",1,0)</f>
        <v>0</v>
      </c>
      <c r="R230" s="1714"/>
      <c r="S230" s="1714"/>
      <c r="T230" s="1714"/>
      <c r="U230" s="1714"/>
      <c r="V230" s="1714"/>
    </row>
    <row r="231" spans="1:27" ht="11.25" customHeight="1">
      <c r="A231" s="1401" t="s">
        <v>1895</v>
      </c>
      <c r="B231" s="969" t="s">
        <v>3397</v>
      </c>
      <c r="D231" s="558"/>
      <c r="L231" s="904"/>
      <c r="M231" s="4288"/>
      <c r="N231" s="439" t="s">
        <v>1895</v>
      </c>
      <c r="O231" s="2672"/>
      <c r="P231" s="2955"/>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3"/>
      <c r="R232" s="1714"/>
      <c r="S232" s="1714"/>
      <c r="T232" s="1714"/>
      <c r="U232" s="1714"/>
      <c r="V232" s="1714"/>
    </row>
    <row r="233" spans="1:27" s="43" customFormat="1" ht="34.9" customHeight="1" thickTop="1" thickBot="1">
      <c r="A233" s="4208" t="s">
        <v>2933</v>
      </c>
      <c r="B233" s="4209"/>
      <c r="C233" s="4209"/>
      <c r="D233" s="4209"/>
      <c r="E233" s="4209"/>
      <c r="F233" s="4209"/>
      <c r="G233" s="4209"/>
      <c r="H233" s="4209"/>
      <c r="I233" s="4209"/>
      <c r="J233" s="4209"/>
      <c r="K233" s="4209"/>
      <c r="L233" s="4209"/>
      <c r="M233" s="4209"/>
      <c r="N233" s="4209"/>
      <c r="O233" s="4209"/>
      <c r="P233" s="4210"/>
      <c r="Q233" s="933" t="s">
        <v>1208</v>
      </c>
    </row>
    <row r="234" spans="1:27" s="43" customFormat="1" ht="10.5" customHeight="1" thickTop="1">
      <c r="A234" s="42"/>
      <c r="B234" s="85" t="s">
        <v>1780</v>
      </c>
      <c r="C234" s="42"/>
      <c r="D234" s="85"/>
      <c r="E234" s="2656"/>
      <c r="F234" s="2656"/>
      <c r="G234" s="2656"/>
      <c r="H234" s="2656"/>
      <c r="I234" s="2656"/>
      <c r="J234" s="2656"/>
      <c r="K234" s="2656"/>
      <c r="L234" s="2656"/>
      <c r="M234" s="2656"/>
      <c r="N234" s="74"/>
      <c r="O234" s="70"/>
      <c r="P234" s="2649"/>
      <c r="Q234" s="414"/>
    </row>
    <row r="235" spans="1:27" s="43" customFormat="1" ht="11.25" customHeight="1">
      <c r="A235" s="4280"/>
      <c r="B235" s="4281"/>
      <c r="C235" s="4281"/>
      <c r="D235" s="4281"/>
      <c r="E235" s="4281"/>
      <c r="F235" s="4281"/>
      <c r="G235" s="4281"/>
      <c r="H235" s="4281"/>
      <c r="I235" s="4281"/>
      <c r="J235" s="4281"/>
      <c r="K235" s="4281"/>
      <c r="L235" s="4281"/>
      <c r="M235" s="4281"/>
      <c r="N235" s="4281"/>
      <c r="O235" s="4281"/>
      <c r="P235" s="4282"/>
      <c r="Q235" s="427"/>
    </row>
    <row r="236" spans="1:27" s="43" customFormat="1" ht="5.25" customHeight="1" thickBot="1">
      <c r="A236" s="42"/>
      <c r="D236" s="39"/>
      <c r="E236" s="36"/>
      <c r="F236" s="777"/>
      <c r="G236" s="777"/>
      <c r="H236" s="777"/>
      <c r="I236" s="777"/>
      <c r="J236" s="783"/>
      <c r="K236" s="783"/>
      <c r="L236" s="783"/>
      <c r="M236" s="60"/>
      <c r="N236" s="777"/>
      <c r="O236" s="2653"/>
      <c r="P236" s="3"/>
    </row>
    <row r="237" spans="1:27" s="43" customFormat="1" ht="13.5" customHeight="1" thickBot="1">
      <c r="A237" s="151" t="s">
        <v>1648</v>
      </c>
      <c r="B237" s="104" t="s">
        <v>4241</v>
      </c>
      <c r="D237" s="41"/>
      <c r="E237" s="41"/>
      <c r="F237" s="41"/>
      <c r="G237" s="41"/>
      <c r="H237" s="41"/>
      <c r="I237" s="41"/>
      <c r="J237" s="41"/>
      <c r="K237" s="41"/>
      <c r="L237" s="41"/>
      <c r="M237" s="2649">
        <v>3</v>
      </c>
      <c r="N237" s="6"/>
      <c r="O237" s="944"/>
      <c r="P237" s="965"/>
      <c r="Q237" s="108" t="s">
        <v>422</v>
      </c>
      <c r="R237" s="892" t="s">
        <v>4265</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c r="P238" s="2974"/>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c r="H239" s="378" t="s">
        <v>587</v>
      </c>
      <c r="I239" s="4321"/>
      <c r="J239" s="4321"/>
      <c r="L239" s="2602" t="s">
        <v>6557</v>
      </c>
      <c r="M239" s="4426"/>
      <c r="N239" s="4426"/>
    </row>
    <row r="240" spans="1:27" s="116" customFormat="1" ht="11.25" customHeight="1">
      <c r="A240" s="365"/>
      <c r="B240" s="423" t="s">
        <v>1898</v>
      </c>
      <c r="C240" s="133" t="s">
        <v>6556</v>
      </c>
      <c r="E240" s="419" t="s">
        <v>3453</v>
      </c>
      <c r="G240" s="2603"/>
      <c r="H240" s="378" t="s">
        <v>587</v>
      </c>
      <c r="I240" s="4289"/>
      <c r="J240" s="4289"/>
      <c r="L240" s="2602" t="s">
        <v>6557</v>
      </c>
      <c r="M240" s="4296"/>
      <c r="N240" s="4296"/>
    </row>
    <row r="241" spans="1:24" s="43" customFormat="1" ht="5.25" customHeight="1">
      <c r="A241" s="42"/>
      <c r="D241" s="39"/>
      <c r="E241" s="36"/>
      <c r="F241" s="777"/>
      <c r="G241" s="777"/>
      <c r="H241" s="777"/>
      <c r="I241" s="777"/>
      <c r="J241" s="783"/>
      <c r="K241" s="783"/>
      <c r="L241" s="783"/>
      <c r="M241" s="60"/>
      <c r="N241" s="777"/>
      <c r="O241" s="2653"/>
      <c r="P241" s="3"/>
    </row>
    <row r="242" spans="1:24" s="43" customFormat="1" ht="10.5" customHeight="1" thickBot="1">
      <c r="A242" s="42"/>
      <c r="B242" s="1007" t="s">
        <v>3372</v>
      </c>
      <c r="C242" s="42"/>
      <c r="D242" s="48"/>
      <c r="E242" s="48"/>
      <c r="F242" s="48"/>
      <c r="G242" s="48"/>
      <c r="H242" s="36"/>
      <c r="I242" s="36"/>
      <c r="J242" s="36"/>
      <c r="K242" s="36"/>
      <c r="M242" s="46"/>
      <c r="N242" s="62"/>
      <c r="O242" s="3"/>
      <c r="P242" s="2653"/>
    </row>
    <row r="243" spans="1:24" s="43" customFormat="1" ht="21.75" customHeight="1" thickTop="1" thickBot="1">
      <c r="A243" s="4208" t="s">
        <v>2933</v>
      </c>
      <c r="B243" s="4209"/>
      <c r="C243" s="4209"/>
      <c r="D243" s="4209"/>
      <c r="E243" s="4209"/>
      <c r="F243" s="4209"/>
      <c r="G243" s="4209"/>
      <c r="H243" s="4209"/>
      <c r="I243" s="4209"/>
      <c r="J243" s="4209"/>
      <c r="K243" s="4209"/>
      <c r="L243" s="4209"/>
      <c r="M243" s="4209"/>
      <c r="N243" s="4209"/>
      <c r="O243" s="4209"/>
      <c r="P243" s="4210"/>
      <c r="Q243" s="933" t="s">
        <v>1208</v>
      </c>
    </row>
    <row r="244" spans="1:24" s="43" customFormat="1" ht="10.5" customHeight="1" thickTop="1">
      <c r="B244" s="85" t="s">
        <v>1780</v>
      </c>
      <c r="C244" s="97"/>
      <c r="D244" s="85"/>
      <c r="E244" s="98"/>
      <c r="F244" s="2656"/>
      <c r="G244" s="2656"/>
      <c r="H244" s="2656"/>
      <c r="I244" s="2656"/>
      <c r="J244" s="2656"/>
      <c r="K244" s="2656"/>
      <c r="L244" s="2656"/>
      <c r="M244" s="2656"/>
      <c r="N244" s="74"/>
      <c r="O244" s="70"/>
      <c r="P244" s="2649"/>
      <c r="Q244" s="414"/>
    </row>
    <row r="245" spans="1:24" s="43" customFormat="1" ht="11.25" customHeight="1">
      <c r="A245" s="4161"/>
      <c r="B245" s="4162"/>
      <c r="C245" s="4162"/>
      <c r="D245" s="4162"/>
      <c r="E245" s="4162"/>
      <c r="F245" s="4162"/>
      <c r="G245" s="4162"/>
      <c r="H245" s="4162"/>
      <c r="I245" s="4162"/>
      <c r="J245" s="4162"/>
      <c r="K245" s="4162"/>
      <c r="L245" s="4162"/>
      <c r="M245" s="4162"/>
      <c r="N245" s="4162"/>
      <c r="O245" s="4162"/>
      <c r="P245" s="4163"/>
      <c r="Q245" s="427"/>
    </row>
    <row r="246" spans="1:24" s="43" customFormat="1" ht="5.25" customHeight="1" thickBot="1">
      <c r="A246" s="42"/>
      <c r="D246" s="39"/>
      <c r="E246" s="36"/>
      <c r="F246" s="777"/>
      <c r="G246" s="777"/>
      <c r="H246" s="777"/>
      <c r="I246" s="777"/>
      <c r="J246" s="783"/>
      <c r="K246" s="783"/>
      <c r="L246" s="783"/>
      <c r="M246" s="60"/>
      <c r="N246" s="777"/>
      <c r="O246" s="2653"/>
      <c r="P246" s="3"/>
    </row>
    <row r="247" spans="1:24" s="43" customFormat="1" ht="13.5" customHeight="1" thickBot="1">
      <c r="A247" s="151" t="s">
        <v>2605</v>
      </c>
      <c r="B247" s="104" t="s">
        <v>4163</v>
      </c>
      <c r="D247" s="41"/>
      <c r="E247" s="55" t="s">
        <v>6568</v>
      </c>
      <c r="G247" s="61"/>
      <c r="M247" s="2649">
        <v>5</v>
      </c>
      <c r="N247" s="6"/>
      <c r="O247" s="944">
        <f>MIN($M247,MAX(O248,O249,O250))</f>
        <v>5</v>
      </c>
      <c r="P247" s="944">
        <f>MIN($M247,MAX(P248,P249,P250))</f>
        <v>0</v>
      </c>
      <c r="Q247" s="108" t="s">
        <v>422</v>
      </c>
      <c r="R247" s="892" t="s">
        <v>4265</v>
      </c>
      <c r="S247" s="1724"/>
      <c r="T247" s="1724"/>
      <c r="U247" s="1724"/>
      <c r="V247" s="1724"/>
      <c r="W247" s="1495"/>
      <c r="X247" s="1495"/>
    </row>
    <row r="248" spans="1:24" s="33" customFormat="1" ht="11.25" customHeight="1">
      <c r="A248" s="137" t="s">
        <v>1893</v>
      </c>
      <c r="B248" s="175" t="s">
        <v>6567</v>
      </c>
      <c r="D248" s="532"/>
      <c r="M248" s="7">
        <v>5</v>
      </c>
      <c r="N248" s="439" t="s">
        <v>1893</v>
      </c>
      <c r="O248" s="2604">
        <v>5</v>
      </c>
      <c r="P248" s="3011"/>
      <c r="Q248" s="895" t="str">
        <f>IF(OR($O248=$M248,$O248=$M248-1,$O248=0,$O248=""),"","*CHECK!*")</f>
        <v/>
      </c>
      <c r="R248" s="892" t="s">
        <v>4265</v>
      </c>
      <c r="S248" s="1724"/>
      <c r="T248" s="1724"/>
      <c r="U248" s="1724"/>
      <c r="V248" s="1724"/>
    </row>
    <row r="249" spans="1:24" s="33" customFormat="1" ht="11.25" customHeight="1">
      <c r="A249" s="137" t="s">
        <v>1895</v>
      </c>
      <c r="B249" s="175" t="s">
        <v>6569</v>
      </c>
      <c r="D249" s="532"/>
      <c r="M249" s="7">
        <v>3</v>
      </c>
      <c r="N249" s="439" t="s">
        <v>1895</v>
      </c>
      <c r="O249" s="2563"/>
      <c r="P249" s="2990"/>
      <c r="Q249" s="895" t="str">
        <f t="shared" ref="Q249:Q250" si="3">IF(OR($O249=$M249,$O249=$M249-1,$O249=0,$O249=""),"","*CHECK!*")</f>
        <v/>
      </c>
      <c r="R249" s="892" t="s">
        <v>4265</v>
      </c>
    </row>
    <row r="250" spans="1:24">
      <c r="A250" s="137" t="s">
        <v>719</v>
      </c>
      <c r="B250" s="175" t="s">
        <v>6570</v>
      </c>
      <c r="E250" s="40" t="s">
        <v>6498</v>
      </c>
      <c r="I250" s="1406"/>
      <c r="L250" s="1675"/>
      <c r="M250" s="7">
        <v>3</v>
      </c>
      <c r="N250" s="439" t="s">
        <v>719</v>
      </c>
      <c r="O250" s="2564"/>
      <c r="P250" s="2991"/>
      <c r="Q250" s="895" t="str">
        <f t="shared" si="3"/>
        <v/>
      </c>
      <c r="R250" s="892" t="s">
        <v>4265</v>
      </c>
    </row>
    <row r="251" spans="1:24" s="43" customFormat="1" ht="10.5" customHeight="1" thickBot="1">
      <c r="A251" s="42"/>
      <c r="B251" s="1007" t="s">
        <v>3372</v>
      </c>
      <c r="C251" s="42"/>
      <c r="D251" s="48"/>
      <c r="E251" s="48"/>
      <c r="F251" s="48"/>
      <c r="G251" s="48"/>
      <c r="H251" s="36"/>
      <c r="I251" s="36"/>
      <c r="J251" s="36"/>
      <c r="K251" s="36"/>
      <c r="M251" s="46"/>
      <c r="N251" s="62"/>
      <c r="O251" s="3"/>
      <c r="P251" s="2653"/>
    </row>
    <row r="252" spans="1:24" s="43" customFormat="1" ht="21.75" customHeight="1" thickTop="1" thickBot="1">
      <c r="A252" s="4208" t="s">
        <v>7003</v>
      </c>
      <c r="B252" s="4209"/>
      <c r="C252" s="4209"/>
      <c r="D252" s="4209"/>
      <c r="E252" s="4209"/>
      <c r="F252" s="4209"/>
      <c r="G252" s="4209"/>
      <c r="H252" s="4209"/>
      <c r="I252" s="4209"/>
      <c r="J252" s="4209"/>
      <c r="K252" s="4209"/>
      <c r="L252" s="4209"/>
      <c r="M252" s="4209"/>
      <c r="N252" s="4209"/>
      <c r="O252" s="4209"/>
      <c r="P252" s="4210"/>
      <c r="Q252" s="933" t="s">
        <v>1208</v>
      </c>
    </row>
    <row r="253" spans="1:24" s="43" customFormat="1" ht="10.5" customHeight="1" thickTop="1">
      <c r="B253" s="85" t="s">
        <v>1780</v>
      </c>
      <c r="C253" s="97"/>
      <c r="D253" s="85"/>
      <c r="E253" s="98"/>
      <c r="F253" s="2656"/>
      <c r="G253" s="2656"/>
      <c r="H253" s="2656"/>
      <c r="I253" s="2656"/>
      <c r="J253" s="2656"/>
      <c r="K253" s="2656"/>
      <c r="L253" s="2656"/>
      <c r="M253" s="2656"/>
      <c r="N253" s="74"/>
      <c r="O253" s="70"/>
      <c r="P253" s="2649"/>
      <c r="Q253" s="414"/>
    </row>
    <row r="254" spans="1:24" s="43" customFormat="1" ht="11.25" customHeight="1">
      <c r="A254" s="4161"/>
      <c r="B254" s="4162"/>
      <c r="C254" s="4162"/>
      <c r="D254" s="4162"/>
      <c r="E254" s="4162"/>
      <c r="F254" s="4162"/>
      <c r="G254" s="4162"/>
      <c r="H254" s="4162"/>
      <c r="I254" s="4162"/>
      <c r="J254" s="4162"/>
      <c r="K254" s="4162"/>
      <c r="L254" s="4162"/>
      <c r="M254" s="4162"/>
      <c r="N254" s="4162"/>
      <c r="O254" s="4162"/>
      <c r="P254" s="4163"/>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3"/>
      <c r="K256" s="48"/>
      <c r="L256" s="439" t="s">
        <v>4266</v>
      </c>
      <c r="M256" s="2649">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3"/>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7"/>
      <c r="P259" s="2954"/>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72"/>
      <c r="P260" s="2955"/>
      <c r="R260" s="380"/>
      <c r="T260" s="929"/>
      <c r="U260" s="929"/>
    </row>
    <row r="261" spans="1:21" s="43" customFormat="1" ht="11.25" customHeight="1">
      <c r="A261" s="137" t="s">
        <v>1895</v>
      </c>
      <c r="B261" s="163" t="s">
        <v>4154</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71" t="s">
        <v>4155</v>
      </c>
      <c r="C262" s="3971"/>
      <c r="D262" s="3971"/>
      <c r="E262" s="3971"/>
      <c r="F262" s="3971"/>
      <c r="G262" s="3971"/>
      <c r="H262" s="3971"/>
      <c r="I262" s="3971"/>
      <c r="J262" s="3971"/>
      <c r="K262" s="3971"/>
      <c r="L262" s="3971"/>
      <c r="M262" s="7"/>
      <c r="N262" s="439"/>
      <c r="O262" s="2663" t="s">
        <v>2772</v>
      </c>
      <c r="P262" s="3012"/>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1" t="s">
        <v>6499</v>
      </c>
      <c r="C264" s="3951"/>
      <c r="D264" s="3951"/>
      <c r="E264" s="3951"/>
      <c r="F264" s="3951"/>
      <c r="G264" s="3951"/>
      <c r="H264" s="3951"/>
      <c r="I264" s="3951"/>
      <c r="J264" s="3951"/>
      <c r="K264" s="3951"/>
      <c r="L264" s="3951"/>
      <c r="M264" s="7"/>
      <c r="N264" s="439"/>
      <c r="O264" s="2659" t="s">
        <v>2769</v>
      </c>
      <c r="P264" s="2963"/>
      <c r="Q264" s="380"/>
      <c r="R264" s="367"/>
      <c r="T264" s="929"/>
      <c r="U264" s="929"/>
    </row>
    <row r="265" spans="1:21" s="43" customFormat="1" ht="22.5" customHeight="1">
      <c r="B265" s="3951" t="s">
        <v>6500</v>
      </c>
      <c r="C265" s="3951"/>
      <c r="D265" s="3951"/>
      <c r="E265" s="3951"/>
      <c r="F265" s="3951"/>
      <c r="G265" s="3951"/>
      <c r="H265" s="3951"/>
      <c r="I265" s="3951"/>
      <c r="J265" s="3951"/>
      <c r="K265" s="3951"/>
      <c r="L265" s="3951"/>
      <c r="M265" s="7"/>
      <c r="N265" s="7"/>
      <c r="O265" s="7"/>
      <c r="P265" s="7"/>
      <c r="Q265" s="380"/>
      <c r="R265" s="367"/>
      <c r="T265" s="929"/>
      <c r="U265" s="929"/>
    </row>
    <row r="266" spans="1:21" s="43" customFormat="1" ht="10.5" customHeight="1">
      <c r="A266" s="42"/>
      <c r="B266" s="85" t="s">
        <v>1780</v>
      </c>
      <c r="C266" s="97"/>
      <c r="D266" s="85"/>
      <c r="E266" s="98"/>
      <c r="F266" s="2656"/>
      <c r="G266" s="2656"/>
      <c r="H266" s="2656"/>
      <c r="I266" s="2656"/>
      <c r="J266" s="2656"/>
      <c r="K266" s="2656"/>
      <c r="L266" s="2656"/>
      <c r="M266" s="2656"/>
      <c r="N266" s="74"/>
      <c r="O266" s="70"/>
      <c r="P266" s="2649"/>
      <c r="Q266" s="414"/>
    </row>
    <row r="267" spans="1:21" s="43" customFormat="1" ht="11.25" customHeight="1">
      <c r="A267" s="4161"/>
      <c r="B267" s="4162"/>
      <c r="C267" s="4162"/>
      <c r="D267" s="4162"/>
      <c r="E267" s="4162"/>
      <c r="F267" s="4162"/>
      <c r="G267" s="4162"/>
      <c r="H267" s="4162"/>
      <c r="I267" s="4162"/>
      <c r="J267" s="4162"/>
      <c r="K267" s="4162"/>
      <c r="L267" s="4162"/>
      <c r="M267" s="4162"/>
      <c r="N267" s="4162"/>
      <c r="O267" s="4162"/>
      <c r="P267" s="4163"/>
      <c r="Q267" s="427"/>
    </row>
    <row r="268" spans="1:21" s="43" customFormat="1" ht="1.5" customHeight="1" thickBot="1">
      <c r="A268" s="42"/>
      <c r="B268" s="42"/>
      <c r="C268" s="2656"/>
      <c r="D268" s="2656"/>
      <c r="E268" s="2656"/>
      <c r="F268" s="2656"/>
      <c r="G268" s="2656"/>
      <c r="H268" s="2656"/>
      <c r="I268" s="2656"/>
      <c r="J268" s="2656"/>
      <c r="K268" s="2656"/>
      <c r="L268" s="2656"/>
      <c r="M268" s="2656"/>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49">
        <v>2</v>
      </c>
      <c r="N269" s="6"/>
      <c r="O269" s="6"/>
      <c r="P269" s="974">
        <f>P271+P277</f>
        <v>0</v>
      </c>
      <c r="Q269" s="108" t="s">
        <v>422</v>
      </c>
    </row>
    <row r="270" spans="1:21" s="43" customFormat="1" ht="13.5" customHeight="1">
      <c r="A270" s="151"/>
      <c r="B270" s="52" t="s">
        <v>6501</v>
      </c>
      <c r="C270" s="2656"/>
      <c r="D270" s="2656"/>
      <c r="E270" s="2656"/>
      <c r="F270" s="2656"/>
      <c r="G270" s="2656"/>
      <c r="H270" s="2656"/>
      <c r="I270" s="2656"/>
      <c r="J270" s="2656"/>
      <c r="K270" s="2656"/>
      <c r="L270" s="1276"/>
      <c r="M270" s="777"/>
      <c r="N270" s="74"/>
      <c r="O270" s="2493" t="s">
        <v>6869</v>
      </c>
      <c r="P270" s="3009"/>
      <c r="Q270" s="108"/>
      <c r="T270" s="929"/>
      <c r="U270" s="929"/>
    </row>
    <row r="271" spans="1:21" s="43" customFormat="1" ht="12" customHeight="1">
      <c r="A271" s="137" t="s">
        <v>1893</v>
      </c>
      <c r="B271" s="163" t="s">
        <v>3490</v>
      </c>
      <c r="C271" s="87"/>
      <c r="D271" s="58"/>
      <c r="E271" s="52"/>
      <c r="G271" s="1509">
        <f>'Part VIII-Threshold Criteria'!I380</f>
        <v>0</v>
      </c>
      <c r="I271" s="40" t="s">
        <v>4286</v>
      </c>
      <c r="K271" s="1676" t="str">
        <f>'Part I-Project Information'!H100</f>
        <v>No</v>
      </c>
      <c r="M271" s="72">
        <v>2</v>
      </c>
      <c r="N271" s="439" t="s">
        <v>1893</v>
      </c>
      <c r="P271" s="3013"/>
      <c r="Q271" s="108"/>
      <c r="R271" s="943" t="s">
        <v>2554</v>
      </c>
    </row>
    <row r="272" spans="1:21" s="101" customFormat="1" ht="10.5" customHeight="1">
      <c r="A272" s="137"/>
      <c r="B272" s="365" t="s">
        <v>1896</v>
      </c>
      <c r="C272" s="36" t="s">
        <v>4018</v>
      </c>
      <c r="D272" s="33"/>
      <c r="N272" s="421" t="s">
        <v>4019</v>
      </c>
      <c r="O272" s="2492"/>
      <c r="P272" s="2953"/>
      <c r="R272" s="367"/>
    </row>
    <row r="273" spans="1:19" s="101" customFormat="1" ht="10.5" customHeight="1">
      <c r="A273" s="137"/>
      <c r="B273" s="365"/>
      <c r="C273" s="36" t="s">
        <v>6502</v>
      </c>
      <c r="D273" s="33"/>
      <c r="N273" s="421" t="s">
        <v>4020</v>
      </c>
      <c r="O273" s="2667"/>
      <c r="P273" s="2954"/>
      <c r="R273" s="367"/>
    </row>
    <row r="274" spans="1:19" s="101" customFormat="1" ht="10.5" customHeight="1">
      <c r="A274" s="137"/>
      <c r="B274" s="365" t="s">
        <v>1898</v>
      </c>
      <c r="C274" s="36" t="s">
        <v>3496</v>
      </c>
      <c r="D274" s="33"/>
      <c r="N274" s="779" t="s">
        <v>1898</v>
      </c>
      <c r="O274" s="2667"/>
      <c r="P274" s="2954"/>
      <c r="R274" s="367"/>
    </row>
    <row r="275" spans="1:19" s="101" customFormat="1" ht="10.5" customHeight="1">
      <c r="A275" s="137"/>
      <c r="B275" s="365" t="s">
        <v>2416</v>
      </c>
      <c r="C275" s="36" t="s">
        <v>4021</v>
      </c>
      <c r="D275" s="33"/>
      <c r="N275" s="779" t="s">
        <v>2416</v>
      </c>
      <c r="O275" s="2667"/>
      <c r="P275" s="2954"/>
      <c r="R275" s="367"/>
    </row>
    <row r="276" spans="1:19" s="101" customFormat="1" ht="10.5" customHeight="1">
      <c r="B276" s="365" t="s">
        <v>1178</v>
      </c>
      <c r="C276" s="36" t="s">
        <v>3497</v>
      </c>
      <c r="D276" s="33"/>
      <c r="N276" s="779" t="s">
        <v>1178</v>
      </c>
      <c r="O276" s="2672"/>
      <c r="P276" s="2954"/>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3"/>
      <c r="Q277" s="108"/>
      <c r="R277" s="943" t="s">
        <v>2554</v>
      </c>
    </row>
    <row r="278" spans="1:19" s="101" customFormat="1" ht="10.5" customHeight="1">
      <c r="A278" s="152"/>
      <c r="B278" s="365" t="s">
        <v>1896</v>
      </c>
      <c r="C278" s="36" t="s">
        <v>4018</v>
      </c>
      <c r="D278" s="52"/>
      <c r="E278" s="52"/>
      <c r="M278" s="2649"/>
      <c r="N278" s="421" t="s">
        <v>4019</v>
      </c>
      <c r="O278" s="2492"/>
      <c r="P278" s="2953"/>
      <c r="Q278" s="108"/>
    </row>
    <row r="279" spans="1:19" s="101" customFormat="1" ht="10.5" customHeight="1">
      <c r="A279" s="137"/>
      <c r="B279" s="365"/>
      <c r="C279" s="36" t="s">
        <v>6503</v>
      </c>
      <c r="D279" s="33"/>
      <c r="N279" s="421" t="s">
        <v>4020</v>
      </c>
      <c r="O279" s="2667"/>
      <c r="P279" s="2954"/>
      <c r="R279" s="367"/>
    </row>
    <row r="280" spans="1:19" s="101" customFormat="1" ht="10.5" customHeight="1">
      <c r="A280" s="137"/>
      <c r="B280" s="365" t="s">
        <v>1898</v>
      </c>
      <c r="C280" s="36" t="s">
        <v>3508</v>
      </c>
      <c r="D280" s="33"/>
      <c r="N280" s="779" t="s">
        <v>1898</v>
      </c>
      <c r="O280" s="2667"/>
      <c r="P280" s="2954"/>
      <c r="R280" s="367"/>
    </row>
    <row r="281" spans="1:19" s="101" customFormat="1" ht="10.5" customHeight="1">
      <c r="B281" s="365" t="s">
        <v>2416</v>
      </c>
      <c r="C281" s="36" t="s">
        <v>3497</v>
      </c>
      <c r="D281" s="33"/>
      <c r="N281" s="779" t="s">
        <v>2416</v>
      </c>
      <c r="O281" s="2672"/>
      <c r="P281" s="2955"/>
      <c r="R281" s="367"/>
    </row>
    <row r="282" spans="1:19" s="43" customFormat="1" ht="10.5" customHeight="1">
      <c r="B282" s="85" t="s">
        <v>1780</v>
      </c>
      <c r="C282" s="97"/>
      <c r="D282" s="85"/>
      <c r="E282" s="98"/>
      <c r="F282" s="2656"/>
      <c r="G282" s="2656"/>
      <c r="H282" s="2656"/>
      <c r="I282" s="2656"/>
      <c r="J282" s="2656"/>
      <c r="K282" s="2656"/>
      <c r="L282" s="2656"/>
      <c r="M282" s="2656"/>
      <c r="N282" s="74"/>
      <c r="O282" s="70"/>
      <c r="P282" s="2649"/>
      <c r="Q282" s="414"/>
    </row>
    <row r="283" spans="1:19" s="43" customFormat="1" ht="11.25" customHeight="1">
      <c r="A283" s="4161"/>
      <c r="B283" s="4162"/>
      <c r="C283" s="4162"/>
      <c r="D283" s="4162"/>
      <c r="E283" s="4162"/>
      <c r="F283" s="4162"/>
      <c r="G283" s="4162"/>
      <c r="H283" s="4162"/>
      <c r="I283" s="4162"/>
      <c r="J283" s="4162"/>
      <c r="K283" s="4162"/>
      <c r="L283" s="4162"/>
      <c r="M283" s="4162"/>
      <c r="N283" s="4162"/>
      <c r="O283" s="4162"/>
      <c r="P283" s="4163"/>
      <c r="Q283" s="427"/>
    </row>
    <row r="284" spans="1:19" ht="2.25" customHeight="1"/>
    <row r="285" spans="1:19" s="43" customFormat="1" ht="2.25" customHeight="1" thickBot="1">
      <c r="A285" s="42"/>
      <c r="C285" s="2656"/>
      <c r="D285" s="2656"/>
      <c r="E285" s="2656"/>
      <c r="F285" s="2656"/>
      <c r="G285" s="2656"/>
      <c r="H285" s="2656"/>
      <c r="I285" s="2656"/>
      <c r="J285" s="2656"/>
      <c r="K285" s="2656"/>
      <c r="L285" s="2656"/>
      <c r="M285" s="2656"/>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4265</v>
      </c>
      <c r="S286" s="1725"/>
    </row>
    <row r="287" spans="1:19" s="43" customFormat="1" ht="11.25" customHeight="1">
      <c r="A287" s="137"/>
      <c r="B287" s="112" t="s">
        <v>3274</v>
      </c>
      <c r="D287" s="88"/>
      <c r="E287" s="88"/>
      <c r="G287" s="52"/>
      <c r="I287" s="3815" t="s">
        <v>6975</v>
      </c>
      <c r="J287" s="3816"/>
      <c r="K287" s="3816"/>
      <c r="L287" s="3817"/>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9"/>
    </row>
    <row r="290" spans="1:20" s="43" customFormat="1" ht="19.5" customHeight="1" thickTop="1" thickBot="1">
      <c r="A290" s="4208" t="s">
        <v>6976</v>
      </c>
      <c r="B290" s="4209"/>
      <c r="C290" s="4209"/>
      <c r="D290" s="4209"/>
      <c r="E290" s="4209"/>
      <c r="F290" s="4209"/>
      <c r="G290" s="4209"/>
      <c r="H290" s="4209"/>
      <c r="I290" s="4209"/>
      <c r="J290" s="4209"/>
      <c r="K290" s="4209"/>
      <c r="L290" s="4209"/>
      <c r="M290" s="4209"/>
      <c r="N290" s="4209"/>
      <c r="O290" s="4209"/>
      <c r="P290" s="4210"/>
      <c r="Q290" s="933" t="s">
        <v>1208</v>
      </c>
    </row>
    <row r="291" spans="1:20" s="101" customFormat="1" ht="10.5" customHeight="1" thickTop="1">
      <c r="A291" s="42"/>
      <c r="B291" s="96" t="s">
        <v>1780</v>
      </c>
      <c r="C291" s="42"/>
      <c r="D291" s="96"/>
      <c r="E291" s="2660"/>
      <c r="F291" s="2660"/>
      <c r="G291" s="2660"/>
      <c r="H291" s="2660"/>
      <c r="I291" s="2660"/>
      <c r="J291" s="2660"/>
      <c r="K291" s="2660"/>
      <c r="L291" s="2660"/>
      <c r="M291" s="2660"/>
      <c r="N291" s="92"/>
      <c r="O291" s="767"/>
      <c r="P291" s="2649"/>
      <c r="Q291" s="414"/>
    </row>
    <row r="292" spans="1:20" s="43" customFormat="1" ht="11.25" customHeight="1">
      <c r="A292" s="4161"/>
      <c r="B292" s="4162"/>
      <c r="C292" s="4162"/>
      <c r="D292" s="4162"/>
      <c r="E292" s="4162"/>
      <c r="F292" s="4162"/>
      <c r="G292" s="4162"/>
      <c r="H292" s="4162"/>
      <c r="I292" s="4162"/>
      <c r="J292" s="4162"/>
      <c r="K292" s="4162"/>
      <c r="L292" s="4162"/>
      <c r="M292" s="4162"/>
      <c r="N292" s="4162"/>
      <c r="O292" s="4162"/>
      <c r="P292" s="4163"/>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86" t="str">
        <f>IF(OR(O296="No",O296="",O297="No",O297="",O298="No",O298="",O299="No",O299=""),"Unmet criterion results in no points!","")</f>
        <v>Unmet criterion results in no points!</v>
      </c>
      <c r="M296" s="4286"/>
      <c r="N296" s="366" t="s">
        <v>2324</v>
      </c>
      <c r="O296" s="2492"/>
      <c r="P296" s="2953"/>
      <c r="R296" s="4279" t="str">
        <f>IF(OR(P296="No",P296="",P297="No",P297="",P298="No",P298="",P299="No",P299=""),"Unmet criterion results in no points!","")</f>
        <v>Unmet criterion results in no points!</v>
      </c>
      <c r="S296" s="4279" t="e">
        <f>IF(OR(V296="No",V296="",V297="No",V297="",V298="No",V298="",V299="No",V299="",#REF!="No",#REF!="",#REF!="No",#REF!=""),"Unmet criterion results in no points!","")</f>
        <v>#REF!</v>
      </c>
    </row>
    <row r="297" spans="1:20" s="99" customFormat="1" ht="12.75" customHeight="1">
      <c r="B297" s="366" t="s">
        <v>2325</v>
      </c>
      <c r="C297" s="133" t="s">
        <v>3409</v>
      </c>
      <c r="L297" s="4286"/>
      <c r="M297" s="4286"/>
      <c r="N297" s="366" t="s">
        <v>2325</v>
      </c>
      <c r="O297" s="2667"/>
      <c r="P297" s="2954"/>
      <c r="R297" s="4279"/>
      <c r="S297" s="4279"/>
    </row>
    <row r="298" spans="1:20" s="99" customFormat="1" ht="12.75" customHeight="1">
      <c r="B298" s="366" t="s">
        <v>2326</v>
      </c>
      <c r="C298" s="133" t="s">
        <v>3408</v>
      </c>
      <c r="L298" s="4286"/>
      <c r="M298" s="4286"/>
      <c r="N298" s="366" t="s">
        <v>2326</v>
      </c>
      <c r="O298" s="2667"/>
      <c r="P298" s="2954"/>
      <c r="R298" s="4279"/>
      <c r="S298" s="4279"/>
    </row>
    <row r="299" spans="1:20" s="99" customFormat="1" ht="33.75" customHeight="1">
      <c r="B299" s="379" t="s">
        <v>2327</v>
      </c>
      <c r="C299" s="4225" t="s">
        <v>3995</v>
      </c>
      <c r="D299" s="4225"/>
      <c r="E299" s="4225"/>
      <c r="F299" s="4225"/>
      <c r="G299" s="4225"/>
      <c r="H299" s="4225"/>
      <c r="I299" s="4225"/>
      <c r="J299" s="4225"/>
      <c r="K299" s="4225"/>
      <c r="L299" s="4225"/>
      <c r="M299" s="4225"/>
      <c r="N299" s="379" t="s">
        <v>2327</v>
      </c>
      <c r="O299" s="2659"/>
      <c r="P299" s="2963"/>
    </row>
    <row r="300" spans="1:20" ht="3" customHeight="1">
      <c r="C300" s="4225"/>
      <c r="D300" s="4225"/>
      <c r="E300" s="4225"/>
      <c r="F300" s="4225"/>
      <c r="G300" s="4225"/>
      <c r="H300" s="4225"/>
      <c r="I300" s="4225"/>
      <c r="J300" s="4225"/>
      <c r="K300" s="4225"/>
      <c r="L300" s="4225"/>
      <c r="M300" s="4225"/>
    </row>
    <row r="301" spans="1:20" ht="12.75" customHeight="1">
      <c r="A301" s="911" t="s">
        <v>1893</v>
      </c>
      <c r="B301" s="175" t="s">
        <v>3494</v>
      </c>
      <c r="L301" s="367" t="str">
        <f>IF(O301&lt;=M301,"","* * Check Score! * *")</f>
        <v/>
      </c>
      <c r="M301" s="968">
        <v>3</v>
      </c>
      <c r="N301" s="439" t="s">
        <v>1893</v>
      </c>
      <c r="O301" s="2573"/>
      <c r="P301" s="3008"/>
      <c r="Q301" s="895" t="str">
        <f>IF(O301&lt;=M301,"","*CHECK!*")</f>
        <v/>
      </c>
      <c r="R301" s="4278" t="s">
        <v>4265</v>
      </c>
      <c r="S301" s="4278"/>
      <c r="T301" s="1498"/>
    </row>
    <row r="302" spans="1:20" ht="12.75" customHeight="1">
      <c r="A302" s="911"/>
      <c r="B302" s="533" t="s">
        <v>1896</v>
      </c>
      <c r="C302" s="898" t="s">
        <v>3998</v>
      </c>
      <c r="D302" s="898"/>
      <c r="E302" s="898"/>
      <c r="F302" s="898"/>
      <c r="G302" s="898"/>
      <c r="H302" s="898"/>
      <c r="I302" s="898"/>
      <c r="N302" s="27"/>
      <c r="O302" s="27"/>
      <c r="P302" s="27"/>
      <c r="R302" s="4278"/>
      <c r="S302" s="4278"/>
      <c r="T302" s="1498"/>
    </row>
    <row r="303" spans="1:20" ht="12.75" customHeight="1">
      <c r="A303" s="911"/>
      <c r="B303" s="423"/>
      <c r="C303" s="898" t="s">
        <v>3997</v>
      </c>
      <c r="D303" s="898"/>
      <c r="E303" s="898"/>
      <c r="F303" s="898"/>
      <c r="G303" s="898"/>
      <c r="H303" s="898"/>
      <c r="I303" s="898"/>
      <c r="J303" s="4287" t="s">
        <v>1900</v>
      </c>
      <c r="K303" s="4287"/>
      <c r="M303" s="4287" t="s">
        <v>1900</v>
      </c>
      <c r="N303" s="4287"/>
      <c r="O303" s="4287"/>
      <c r="P303" s="4287"/>
      <c r="R303" s="4278"/>
      <c r="S303" s="4278"/>
      <c r="T303" s="1498"/>
    </row>
    <row r="304" spans="1:20" s="43" customFormat="1" ht="12.75" customHeight="1">
      <c r="A304" s="173"/>
      <c r="B304" s="366" t="s">
        <v>2324</v>
      </c>
      <c r="C304" s="36" t="s">
        <v>1423</v>
      </c>
      <c r="I304" s="366" t="s">
        <v>2324</v>
      </c>
      <c r="J304" s="4412"/>
      <c r="K304" s="4413"/>
      <c r="L304" s="366" t="s">
        <v>2324</v>
      </c>
      <c r="M304" s="4364"/>
      <c r="N304" s="4365"/>
      <c r="O304" s="4365"/>
      <c r="P304" s="4366"/>
      <c r="R304" s="367"/>
    </row>
    <row r="305" spans="1:18" ht="12.75" customHeight="1">
      <c r="A305" s="174"/>
      <c r="B305" s="379" t="s">
        <v>2325</v>
      </c>
      <c r="C305" s="36" t="s">
        <v>3276</v>
      </c>
      <c r="I305" s="379" t="s">
        <v>2325</v>
      </c>
      <c r="J305" s="4274"/>
      <c r="K305" s="4275"/>
      <c r="L305" s="379" t="s">
        <v>2325</v>
      </c>
      <c r="M305" s="4271"/>
      <c r="N305" s="4272"/>
      <c r="O305" s="4272"/>
      <c r="P305" s="4273"/>
      <c r="R305" s="367"/>
    </row>
    <row r="306" spans="1:18" ht="12.75" customHeight="1">
      <c r="B306" s="366" t="s">
        <v>2326</v>
      </c>
      <c r="C306" s="36" t="s">
        <v>4156</v>
      </c>
      <c r="I306" s="366" t="s">
        <v>2326</v>
      </c>
      <c r="J306" s="4274"/>
      <c r="K306" s="4275"/>
      <c r="L306" s="366" t="s">
        <v>2326</v>
      </c>
      <c r="M306" s="4271"/>
      <c r="N306" s="4272"/>
      <c r="O306" s="4272"/>
      <c r="P306" s="4273"/>
      <c r="R306" s="367"/>
    </row>
    <row r="307" spans="1:18" ht="12.75" customHeight="1">
      <c r="A307" s="174"/>
      <c r="B307" s="366" t="s">
        <v>2327</v>
      </c>
      <c r="C307" s="36" t="s">
        <v>3192</v>
      </c>
      <c r="I307" s="366" t="s">
        <v>2327</v>
      </c>
      <c r="J307" s="4274"/>
      <c r="K307" s="4275"/>
      <c r="L307" s="366" t="s">
        <v>2327</v>
      </c>
      <c r="M307" s="4271"/>
      <c r="N307" s="4272"/>
      <c r="O307" s="4272"/>
      <c r="P307" s="4273"/>
      <c r="R307" s="367"/>
    </row>
    <row r="308" spans="1:18" s="43" customFormat="1" ht="12.75" customHeight="1">
      <c r="A308" s="173"/>
      <c r="B308" s="379" t="s">
        <v>2328</v>
      </c>
      <c r="C308" s="36" t="s">
        <v>2571</v>
      </c>
      <c r="I308" s="379" t="s">
        <v>2328</v>
      </c>
      <c r="J308" s="4274"/>
      <c r="K308" s="4275"/>
      <c r="L308" s="379" t="s">
        <v>2328</v>
      </c>
      <c r="M308" s="4271"/>
      <c r="N308" s="4272"/>
      <c r="O308" s="4272"/>
      <c r="P308" s="4273"/>
      <c r="R308" s="367"/>
    </row>
    <row r="309" spans="1:18" ht="12.75" customHeight="1">
      <c r="B309" s="366" t="s">
        <v>2344</v>
      </c>
      <c r="C309" s="36" t="s">
        <v>1422</v>
      </c>
      <c r="I309" s="366" t="s">
        <v>2344</v>
      </c>
      <c r="J309" s="4274"/>
      <c r="K309" s="4275"/>
      <c r="L309" s="366" t="s">
        <v>2344</v>
      </c>
      <c r="M309" s="4271"/>
      <c r="N309" s="4272"/>
      <c r="O309" s="4272"/>
      <c r="P309" s="4273"/>
      <c r="R309" s="367"/>
    </row>
    <row r="310" spans="1:18" ht="12.75" customHeight="1">
      <c r="B310" s="366" t="s">
        <v>2345</v>
      </c>
      <c r="C310" s="36" t="s">
        <v>6504</v>
      </c>
      <c r="I310" s="366" t="s">
        <v>2345</v>
      </c>
      <c r="J310" s="4274"/>
      <c r="K310" s="4275"/>
      <c r="L310" s="366" t="s">
        <v>2345</v>
      </c>
      <c r="M310" s="3014"/>
      <c r="N310" s="3015"/>
      <c r="O310" s="3015"/>
      <c r="P310" s="3016"/>
      <c r="R310" s="367"/>
    </row>
    <row r="311" spans="1:18" ht="12.75" customHeight="1">
      <c r="A311" s="174"/>
      <c r="B311" s="378" t="s">
        <v>2346</v>
      </c>
      <c r="C311" s="36" t="s">
        <v>3275</v>
      </c>
      <c r="I311" s="378" t="s">
        <v>2346</v>
      </c>
      <c r="J311" s="4274"/>
      <c r="K311" s="4275"/>
      <c r="L311" s="378" t="s">
        <v>2346</v>
      </c>
      <c r="M311" s="4271"/>
      <c r="N311" s="4272"/>
      <c r="O311" s="4272"/>
      <c r="P311" s="4273"/>
      <c r="R311" s="367"/>
    </row>
    <row r="312" spans="1:18" ht="12.75" customHeight="1">
      <c r="B312" s="378" t="s">
        <v>2347</v>
      </c>
      <c r="C312" s="36" t="s">
        <v>3999</v>
      </c>
      <c r="I312" s="378" t="s">
        <v>2347</v>
      </c>
      <c r="J312" s="4274"/>
      <c r="K312" s="4275"/>
      <c r="L312" s="378" t="s">
        <v>2347</v>
      </c>
      <c r="M312" s="4271"/>
      <c r="N312" s="4272"/>
      <c r="O312" s="4272"/>
      <c r="P312" s="4273"/>
      <c r="R312" s="367"/>
    </row>
    <row r="313" spans="1:18" ht="12.75" customHeight="1">
      <c r="B313" s="378" t="s">
        <v>3277</v>
      </c>
      <c r="C313" s="36" t="s">
        <v>4000</v>
      </c>
      <c r="I313" s="378" t="s">
        <v>3277</v>
      </c>
      <c r="J313" s="4274"/>
      <c r="K313" s="4275"/>
      <c r="L313" s="378" t="s">
        <v>3277</v>
      </c>
      <c r="M313" s="4271"/>
      <c r="N313" s="4272"/>
      <c r="O313" s="4272"/>
      <c r="P313" s="4273"/>
      <c r="R313" s="367"/>
    </row>
    <row r="314" spans="1:18" ht="12.75" customHeight="1" thickBot="1">
      <c r="B314" s="378" t="s">
        <v>6505</v>
      </c>
      <c r="C314" s="36" t="s">
        <v>6506</v>
      </c>
      <c r="I314" s="378" t="s">
        <v>6505</v>
      </c>
      <c r="J314" s="4274"/>
      <c r="K314" s="4275"/>
      <c r="L314" s="378" t="s">
        <v>6505</v>
      </c>
      <c r="M314" s="4428"/>
      <c r="N314" s="4429"/>
      <c r="O314" s="4429"/>
      <c r="P314" s="4430"/>
      <c r="R314" s="367"/>
    </row>
    <row r="315" spans="1:18" ht="12.75" customHeight="1" thickBot="1">
      <c r="B315" s="988" t="s">
        <v>4001</v>
      </c>
      <c r="H315" s="1006" t="s">
        <v>2501</v>
      </c>
      <c r="J315" s="4406">
        <f>SUM(J304:K314)</f>
        <v>0</v>
      </c>
      <c r="K315" s="4407"/>
      <c r="M315" s="4406">
        <f>SUM($M304:$M314)</f>
        <v>0</v>
      </c>
      <c r="N315" s="4411"/>
      <c r="O315" s="4411"/>
      <c r="P315" s="4407"/>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310">
        <f>'Part VI-Revenues &amp; Expenses'!$P$67</f>
        <v>72</v>
      </c>
      <c r="K317" s="4311"/>
      <c r="L317" s="497"/>
      <c r="M317" s="474"/>
      <c r="N317" s="474"/>
      <c r="O317" s="962"/>
      <c r="P317" s="474"/>
    </row>
    <row r="318" spans="1:18" ht="13.5" customHeight="1">
      <c r="C318" s="897"/>
      <c r="D318" s="897"/>
      <c r="E318" s="897"/>
      <c r="F318" s="422" t="s">
        <v>6508</v>
      </c>
      <c r="J318" s="4383">
        <f>J315/J317</f>
        <v>0</v>
      </c>
      <c r="K318" s="4384"/>
      <c r="M318" s="4416">
        <f>IF($J317=0,0,$M315/$J317)</f>
        <v>0</v>
      </c>
      <c r="N318" s="4417"/>
      <c r="O318" s="4417"/>
      <c r="P318" s="4418"/>
    </row>
    <row r="319" spans="1:18" s="43" customFormat="1" ht="12.75" customHeight="1">
      <c r="C319" s="897"/>
      <c r="D319" s="897"/>
      <c r="E319" s="897"/>
      <c r="F319" s="921" t="s">
        <v>6509</v>
      </c>
      <c r="I319" s="27"/>
      <c r="J319" s="4380">
        <f>IF(L296="", IF($J318&gt;=30000, 3,IF($J318&gt;=20000, 2,IF($J318&gt;=10000,1,0))),0)</f>
        <v>0</v>
      </c>
      <c r="K319" s="4382"/>
      <c r="L319" s="482"/>
      <c r="M319" s="4380">
        <f>IF(R296="", IF($M318&gt;=30000, 3,IF($M318&gt;=20000, 2,IF($M318&gt;=10000,1,0))),0)</f>
        <v>0</v>
      </c>
      <c r="N319" s="4381"/>
      <c r="O319" s="4381"/>
      <c r="P319" s="4382"/>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4265</v>
      </c>
      <c r="V321" s="929"/>
    </row>
    <row r="322" spans="1:22" s="43" customFormat="1" ht="22.5" customHeight="1">
      <c r="A322" s="137"/>
      <c r="B322" s="423" t="s">
        <v>1896</v>
      </c>
      <c r="C322" s="3951" t="s">
        <v>3495</v>
      </c>
      <c r="D322" s="3951"/>
      <c r="E322" s="3951"/>
      <c r="F322" s="3951"/>
      <c r="G322" s="3951"/>
      <c r="H322" s="3951"/>
      <c r="I322" s="3951"/>
      <c r="J322" s="3951"/>
      <c r="K322" s="3951"/>
      <c r="L322" s="3951"/>
      <c r="M322" s="3951"/>
      <c r="N322" s="1737" t="s">
        <v>1896</v>
      </c>
      <c r="O322" s="2665"/>
      <c r="P322" s="2973"/>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72"/>
      <c r="P323" s="2955"/>
      <c r="V323" s="929"/>
    </row>
    <row r="324" spans="1:22" ht="12.75" customHeight="1">
      <c r="B324" s="365" t="s">
        <v>2416</v>
      </c>
      <c r="C324" s="418" t="s">
        <v>4002</v>
      </c>
      <c r="N324" s="779" t="s">
        <v>2416</v>
      </c>
      <c r="O324" s="2672"/>
      <c r="P324" s="2955"/>
    </row>
    <row r="325" spans="1:22" ht="12" customHeight="1" thickBot="1">
      <c r="B325" s="1007" t="s">
        <v>3372</v>
      </c>
    </row>
    <row r="326" spans="1:22" s="43" customFormat="1" ht="21.75" customHeight="1" thickTop="1" thickBot="1">
      <c r="A326" s="4208" t="s">
        <v>2933</v>
      </c>
      <c r="B326" s="4209"/>
      <c r="C326" s="4209"/>
      <c r="D326" s="4209"/>
      <c r="E326" s="4209"/>
      <c r="F326" s="4209"/>
      <c r="G326" s="4209"/>
      <c r="H326" s="4209"/>
      <c r="I326" s="4209"/>
      <c r="J326" s="4209"/>
      <c r="K326" s="4209"/>
      <c r="L326" s="4209"/>
      <c r="M326" s="4209"/>
      <c r="N326" s="4209"/>
      <c r="O326" s="4209"/>
      <c r="P326" s="4210"/>
      <c r="Q326" s="933" t="s">
        <v>1208</v>
      </c>
    </row>
    <row r="327" spans="1:22" s="101" customFormat="1" ht="11.25" customHeight="1" thickTop="1">
      <c r="A327" s="42"/>
      <c r="B327" s="476" t="s">
        <v>1780</v>
      </c>
      <c r="C327" s="97"/>
      <c r="D327" s="96"/>
      <c r="E327" s="2668"/>
      <c r="F327" s="2660"/>
      <c r="G327" s="2660"/>
      <c r="H327" s="2660"/>
      <c r="I327" s="2660"/>
      <c r="J327" s="2660"/>
      <c r="K327" s="2660"/>
      <c r="L327" s="2660"/>
      <c r="M327" s="2660"/>
      <c r="N327" s="92"/>
      <c r="O327" s="767"/>
      <c r="P327" s="2649"/>
      <c r="Q327" s="414"/>
    </row>
    <row r="328" spans="1:22" s="43" customFormat="1" ht="11.25" customHeight="1">
      <c r="A328" s="4161"/>
      <c r="B328" s="4162"/>
      <c r="C328" s="4162"/>
      <c r="D328" s="4162"/>
      <c r="E328" s="4162"/>
      <c r="F328" s="4162"/>
      <c r="G328" s="4162"/>
      <c r="H328" s="4162"/>
      <c r="I328" s="4162"/>
      <c r="J328" s="4162"/>
      <c r="K328" s="4162"/>
      <c r="L328" s="4162"/>
      <c r="M328" s="4162"/>
      <c r="N328" s="4162"/>
      <c r="O328" s="4162"/>
      <c r="P328" s="4163"/>
      <c r="Q328" s="427"/>
    </row>
    <row r="329" spans="1:22" s="43" customFormat="1" ht="3" customHeight="1" thickBot="1">
      <c r="A329" s="42"/>
      <c r="B329" s="42"/>
      <c r="C329" s="2656"/>
      <c r="D329" s="2656"/>
      <c r="E329" s="2656"/>
      <c r="F329" s="2656"/>
      <c r="G329" s="2656"/>
      <c r="H329" s="2656"/>
      <c r="I329" s="2656"/>
      <c r="J329" s="2656"/>
      <c r="K329" s="2656"/>
      <c r="L329" s="2656"/>
      <c r="M329" s="2656"/>
      <c r="N329" s="74"/>
      <c r="O329" s="70"/>
      <c r="P329" s="777"/>
    </row>
    <row r="330" spans="1:22" s="43" customFormat="1" ht="13.5" customHeight="1" thickBot="1">
      <c r="A330" s="1489" t="s">
        <v>3522</v>
      </c>
      <c r="B330" s="104" t="s">
        <v>2566</v>
      </c>
      <c r="D330" s="40"/>
      <c r="G330" s="61" t="s">
        <v>6296</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9">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5" t="s">
        <v>4069</v>
      </c>
      <c r="E332" s="3816"/>
      <c r="F332" s="3816"/>
      <c r="G332" s="3816"/>
      <c r="H332" s="3816"/>
      <c r="I332" s="3817"/>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4157</v>
      </c>
      <c r="C334" s="382"/>
      <c r="D334" s="382"/>
      <c r="E334" s="382"/>
      <c r="F334" s="382"/>
      <c r="G334" s="382"/>
      <c r="H334" s="382"/>
      <c r="I334" s="382"/>
      <c r="M334" s="402">
        <v>2</v>
      </c>
      <c r="N334" s="159" t="s">
        <v>1893</v>
      </c>
      <c r="O334" s="2573"/>
      <c r="P334" s="3008"/>
      <c r="Q334" s="895" t="str">
        <f>IF(OR($O334=$M334,$O334=0,$O334=""),"","*CHECK!*")</f>
        <v/>
      </c>
      <c r="R334" s="892" t="s">
        <v>4265</v>
      </c>
    </row>
    <row r="335" spans="1:22" s="401" customFormat="1" ht="12" customHeight="1">
      <c r="A335" s="400"/>
      <c r="B335" s="3962" t="s">
        <v>6510</v>
      </c>
      <c r="C335" s="3962"/>
      <c r="D335" s="3962"/>
      <c r="E335" s="3962"/>
      <c r="F335" s="3962"/>
      <c r="G335" s="3962"/>
      <c r="H335" s="3962"/>
      <c r="I335" s="3962"/>
      <c r="J335" s="3962"/>
      <c r="K335" s="3962"/>
      <c r="L335" s="3962"/>
      <c r="M335" s="4427" t="s">
        <v>4070</v>
      </c>
      <c r="N335" s="4427"/>
      <c r="Q335" s="170"/>
    </row>
    <row r="336" spans="1:22" s="401" customFormat="1" ht="12" customHeight="1">
      <c r="B336" s="3962"/>
      <c r="C336" s="3962"/>
      <c r="D336" s="3962"/>
      <c r="E336" s="3962"/>
      <c r="F336" s="3962"/>
      <c r="G336" s="3962"/>
      <c r="H336" s="3962"/>
      <c r="I336" s="3962"/>
      <c r="J336" s="3962"/>
      <c r="K336" s="3962"/>
      <c r="L336" s="3962"/>
      <c r="M336" s="4427"/>
      <c r="N336" s="4427"/>
      <c r="O336" s="4431">
        <f>'Part VI-Revenues &amp; Expenses'!$P$123</f>
        <v>0</v>
      </c>
      <c r="P336" s="4432"/>
      <c r="Q336" s="170"/>
    </row>
    <row r="337" spans="1:19" s="401" customFormat="1" ht="12" customHeight="1">
      <c r="B337" s="3962"/>
      <c r="C337" s="3962"/>
      <c r="D337" s="3962"/>
      <c r="E337" s="3962"/>
      <c r="F337" s="3962"/>
      <c r="G337" s="3962"/>
      <c r="H337" s="3962"/>
      <c r="I337" s="3962"/>
      <c r="J337" s="3962"/>
      <c r="K337" s="3962"/>
      <c r="L337" s="3962"/>
      <c r="M337" s="2638" t="s">
        <v>2628</v>
      </c>
      <c r="N337" s="402"/>
      <c r="O337" s="4419">
        <f>'Part VI-Revenues &amp; Expenses'!$P$67</f>
        <v>72</v>
      </c>
      <c r="P337" s="4420"/>
      <c r="Q337" s="170"/>
    </row>
    <row r="338" spans="1:19" s="401" customFormat="1" ht="12" customHeight="1">
      <c r="B338" s="4433"/>
      <c r="C338" s="4433"/>
      <c r="D338" s="4433"/>
      <c r="E338" s="4433"/>
      <c r="F338" s="4433"/>
      <c r="G338" s="4433"/>
      <c r="H338" s="4433"/>
      <c r="I338" s="4433"/>
      <c r="J338" s="4433"/>
      <c r="K338" s="4433"/>
      <c r="L338" s="4433"/>
      <c r="M338" s="1280" t="s">
        <v>2629</v>
      </c>
      <c r="N338" s="402"/>
      <c r="O338" s="4276">
        <f>IF(O337=0,0,O336/O337)</f>
        <v>0</v>
      </c>
      <c r="P338" s="4277"/>
      <c r="Q338" s="170"/>
    </row>
    <row r="339" spans="1:19" s="43" customFormat="1" ht="105.75" customHeight="1">
      <c r="A339" s="492"/>
      <c r="B339" s="4144" t="s">
        <v>3567</v>
      </c>
      <c r="C339" s="4145"/>
      <c r="D339" s="4145"/>
      <c r="E339" s="4145"/>
      <c r="F339" s="4145"/>
      <c r="G339" s="4145"/>
      <c r="H339" s="4145"/>
      <c r="I339" s="4145"/>
      <c r="J339" s="4145"/>
      <c r="K339" s="4145"/>
      <c r="L339" s="4145"/>
      <c r="M339" s="4145"/>
      <c r="N339" s="4145"/>
      <c r="O339" s="4145"/>
      <c r="P339" s="4146"/>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4158</v>
      </c>
      <c r="C341" s="138"/>
      <c r="D341" s="766"/>
      <c r="H341" s="382"/>
      <c r="M341" s="402">
        <v>2</v>
      </c>
      <c r="N341" s="159" t="s">
        <v>1895</v>
      </c>
      <c r="O341" s="2573"/>
      <c r="P341" s="3008"/>
      <c r="Q341" s="895" t="str">
        <f>IF(OR($O341=$M341,$O341=0,$O341=""),"","*CHECK!*")</f>
        <v/>
      </c>
      <c r="R341" s="892" t="s">
        <v>4265</v>
      </c>
    </row>
    <row r="342" spans="1:19" s="401" customFormat="1" ht="11.25" customHeight="1">
      <c r="A342" s="493"/>
      <c r="B342" s="3951" t="s">
        <v>6511</v>
      </c>
      <c r="C342" s="3951"/>
      <c r="D342" s="3951"/>
      <c r="E342" s="3951"/>
      <c r="F342" s="3951"/>
      <c r="G342" s="3951"/>
      <c r="H342" s="3951"/>
      <c r="I342" s="3951"/>
      <c r="J342" s="3951"/>
      <c r="K342" s="3951"/>
      <c r="L342" s="3951"/>
      <c r="M342" s="1320" t="s">
        <v>4003</v>
      </c>
      <c r="O342" s="4409">
        <f>'Part VI-Revenues &amp; Expenses'!$P$125</f>
        <v>0</v>
      </c>
      <c r="P342" s="4410"/>
      <c r="Q342" s="170"/>
    </row>
    <row r="343" spans="1:19" s="401" customFormat="1" ht="11.25" customHeight="1">
      <c r="A343" s="493"/>
      <c r="B343" s="3951"/>
      <c r="C343" s="3951"/>
      <c r="D343" s="3951"/>
      <c r="E343" s="3951"/>
      <c r="F343" s="3951"/>
      <c r="G343" s="3951"/>
      <c r="H343" s="3951"/>
      <c r="I343" s="3951"/>
      <c r="J343" s="3951"/>
      <c r="K343" s="3951"/>
      <c r="L343" s="3951"/>
      <c r="M343" s="1016" t="s">
        <v>2628</v>
      </c>
      <c r="N343" s="402"/>
      <c r="O343" s="4419">
        <f>'Part VI-Revenues &amp; Expenses'!$P$67</f>
        <v>72</v>
      </c>
      <c r="P343" s="4420"/>
      <c r="Q343" s="170"/>
    </row>
    <row r="344" spans="1:19" s="401" customFormat="1" ht="11.25" customHeight="1">
      <c r="A344" s="493"/>
      <c r="B344" s="3951"/>
      <c r="C344" s="3951"/>
      <c r="D344" s="3951"/>
      <c r="E344" s="3951"/>
      <c r="F344" s="3951"/>
      <c r="G344" s="3951"/>
      <c r="H344" s="3951"/>
      <c r="I344" s="3951"/>
      <c r="J344" s="3951"/>
      <c r="K344" s="3951"/>
      <c r="L344" s="3951"/>
      <c r="M344" s="1280" t="s">
        <v>2629</v>
      </c>
      <c r="N344" s="402"/>
      <c r="O344" s="4276">
        <f>IF(O343=0,0,O342/O343)</f>
        <v>0</v>
      </c>
      <c r="P344" s="4277"/>
      <c r="Q344" s="170"/>
    </row>
    <row r="345" spans="1:19" s="43" customFormat="1" ht="11.25" customHeight="1" thickBot="1">
      <c r="A345" s="42"/>
      <c r="B345" s="1007" t="s">
        <v>3372</v>
      </c>
      <c r="C345" s="42"/>
      <c r="D345" s="48"/>
      <c r="E345" s="48"/>
      <c r="F345" s="48"/>
      <c r="G345" s="48"/>
      <c r="H345" s="36"/>
      <c r="I345" s="36"/>
      <c r="J345" s="36"/>
      <c r="K345" s="36"/>
      <c r="M345" s="46"/>
      <c r="N345" s="62"/>
      <c r="O345" s="3"/>
      <c r="P345" s="2653"/>
    </row>
    <row r="346" spans="1:19" s="43" customFormat="1" ht="73.5" customHeight="1" thickTop="1" thickBot="1">
      <c r="A346" s="4208" t="s">
        <v>2933</v>
      </c>
      <c r="B346" s="4209"/>
      <c r="C346" s="4209"/>
      <c r="D346" s="4209"/>
      <c r="E346" s="4209"/>
      <c r="F346" s="4209"/>
      <c r="G346" s="4209"/>
      <c r="H346" s="4209"/>
      <c r="I346" s="4209"/>
      <c r="J346" s="4209"/>
      <c r="K346" s="4209"/>
      <c r="L346" s="4209"/>
      <c r="M346" s="4209"/>
      <c r="N346" s="4209"/>
      <c r="O346" s="4209"/>
      <c r="P346" s="4210"/>
      <c r="Q346" s="933" t="s">
        <v>1208</v>
      </c>
      <c r="R346" s="428"/>
    </row>
    <row r="347" spans="1:19" s="43" customFormat="1" ht="10.5" customHeight="1" thickTop="1">
      <c r="B347" s="85" t="s">
        <v>1780</v>
      </c>
      <c r="C347" s="97"/>
      <c r="D347" s="85"/>
      <c r="E347" s="98"/>
      <c r="F347" s="2656"/>
      <c r="G347" s="2656"/>
      <c r="H347" s="2656"/>
      <c r="I347" s="2656"/>
      <c r="J347" s="2656"/>
      <c r="K347" s="2656"/>
      <c r="L347" s="2656"/>
      <c r="M347" s="2656"/>
      <c r="N347" s="74"/>
      <c r="O347" s="70"/>
      <c r="P347" s="2649"/>
      <c r="Q347" s="414"/>
    </row>
    <row r="348" spans="1:19" s="43" customFormat="1" ht="22.15" customHeight="1">
      <c r="A348" s="4161"/>
      <c r="B348" s="4162"/>
      <c r="C348" s="4162"/>
      <c r="D348" s="4162"/>
      <c r="E348" s="4162"/>
      <c r="F348" s="4162"/>
      <c r="G348" s="4162"/>
      <c r="H348" s="4162"/>
      <c r="I348" s="4162"/>
      <c r="J348" s="4162"/>
      <c r="K348" s="4162"/>
      <c r="L348" s="4162"/>
      <c r="M348" s="4162"/>
      <c r="N348" s="4162"/>
      <c r="O348" s="4162"/>
      <c r="P348" s="4163"/>
      <c r="Q348" s="427"/>
    </row>
    <row r="349" spans="1:19" s="43" customFormat="1" ht="6" customHeight="1" thickBot="1">
      <c r="A349" s="42"/>
      <c r="B349" s="42"/>
      <c r="C349" s="2656"/>
      <c r="D349" s="2656"/>
      <c r="E349" s="2656"/>
      <c r="F349" s="2656"/>
      <c r="G349" s="2656"/>
      <c r="H349" s="2656"/>
      <c r="I349" s="2656"/>
      <c r="J349" s="2656"/>
      <c r="K349" s="2656"/>
      <c r="L349" s="2656"/>
      <c r="M349" s="2656"/>
      <c r="N349" s="74"/>
      <c r="O349" s="70"/>
      <c r="P349" s="777"/>
    </row>
    <row r="350" spans="1:19" s="101" customFormat="1" ht="14.25" customHeight="1" thickBot="1">
      <c r="A350" s="152" t="s">
        <v>3523</v>
      </c>
      <c r="B350" s="104" t="s">
        <v>4240</v>
      </c>
      <c r="D350" s="45"/>
      <c r="E350" s="45"/>
      <c r="F350" s="39"/>
      <c r="G350" s="36"/>
      <c r="I350" s="36"/>
      <c r="J350" s="36"/>
      <c r="K350" s="36"/>
      <c r="L350" s="367" t="str">
        <f>IF(OR($O350=$M350,$O350&lt;=0,$O350=""),"","* * Check Score! * *")</f>
        <v/>
      </c>
      <c r="M350" s="2649">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9"/>
      <c r="N351" s="6"/>
      <c r="O351" s="6"/>
      <c r="P351" s="6"/>
      <c r="Q351" s="108"/>
    </row>
    <row r="352" spans="1:19" s="101" customFormat="1" ht="12.75" customHeight="1">
      <c r="A352" s="152"/>
      <c r="B352" s="86" t="s">
        <v>3300</v>
      </c>
      <c r="D352" s="45"/>
      <c r="E352" s="45"/>
      <c r="F352" s="39"/>
      <c r="G352" s="36"/>
      <c r="I352" s="36"/>
      <c r="J352" s="36"/>
      <c r="K352" s="36"/>
      <c r="L352" s="367"/>
      <c r="M352" s="2649"/>
      <c r="N352" s="6"/>
      <c r="O352" s="977">
        <v>10</v>
      </c>
      <c r="P352" s="977">
        <v>10</v>
      </c>
      <c r="Q352" s="108"/>
    </row>
    <row r="353" spans="1:18" s="101" customFormat="1" ht="12.75" customHeight="1">
      <c r="A353" s="152"/>
      <c r="B353" s="86" t="s">
        <v>3301</v>
      </c>
      <c r="D353" s="45"/>
      <c r="E353" s="45"/>
      <c r="F353" s="39"/>
      <c r="G353" s="36"/>
      <c r="I353" s="36"/>
      <c r="J353" s="36"/>
      <c r="K353" s="36"/>
      <c r="L353" s="367"/>
      <c r="M353" s="2649"/>
      <c r="N353" s="6"/>
      <c r="O353" s="2606"/>
      <c r="P353" s="3011"/>
      <c r="Q353" s="108"/>
    </row>
    <row r="354" spans="1:18" s="101" customFormat="1" ht="12.75" customHeight="1">
      <c r="A354" s="152"/>
      <c r="B354" s="86" t="s">
        <v>3302</v>
      </c>
      <c r="D354" s="45"/>
      <c r="E354" s="45"/>
      <c r="F354" s="39"/>
      <c r="G354" s="36"/>
      <c r="I354" s="36"/>
      <c r="J354" s="36"/>
      <c r="K354" s="36"/>
      <c r="L354" s="367"/>
      <c r="M354" s="2649"/>
      <c r="N354" s="6"/>
      <c r="O354" s="2607"/>
      <c r="P354" s="2991"/>
      <c r="Q354" s="108"/>
    </row>
    <row r="355" spans="1:18" s="101" customFormat="1" ht="12.75" customHeight="1">
      <c r="A355" s="66"/>
      <c r="B355" s="66" t="s">
        <v>1780</v>
      </c>
      <c r="C355" s="50"/>
      <c r="D355" s="66"/>
      <c r="E355" s="2660"/>
      <c r="F355" s="2660"/>
      <c r="G355" s="2660"/>
      <c r="H355" s="2660"/>
      <c r="I355" s="2660"/>
      <c r="J355" s="2660"/>
      <c r="K355" s="2660"/>
      <c r="L355" s="2660"/>
      <c r="M355" s="2660"/>
      <c r="N355" s="92"/>
      <c r="O355" s="767"/>
      <c r="P355" s="2649"/>
    </row>
    <row r="356" spans="1:18" s="43" customFormat="1" ht="12.75" customHeight="1">
      <c r="A356" s="4161"/>
      <c r="B356" s="4162"/>
      <c r="C356" s="4162"/>
      <c r="D356" s="4162"/>
      <c r="E356" s="4162"/>
      <c r="F356" s="4162"/>
      <c r="G356" s="4162"/>
      <c r="H356" s="4162"/>
      <c r="I356" s="4162"/>
      <c r="J356" s="4162"/>
      <c r="K356" s="4162"/>
      <c r="L356" s="4162"/>
      <c r="M356" s="4162"/>
      <c r="N356" s="4162"/>
      <c r="O356" s="4162"/>
      <c r="P356" s="4163"/>
      <c r="Q356" s="933" t="s">
        <v>1208</v>
      </c>
      <c r="R356" s="428"/>
    </row>
    <row r="357" spans="1:18" s="43" customFormat="1" ht="6" customHeight="1" thickBot="1">
      <c r="A357" s="152"/>
      <c r="B357" s="42"/>
      <c r="C357" s="2656"/>
      <c r="D357" s="2656"/>
      <c r="E357" s="2656"/>
      <c r="F357" s="2656"/>
      <c r="G357" s="2656"/>
      <c r="H357" s="2656"/>
      <c r="I357" s="2656"/>
      <c r="J357" s="2656"/>
      <c r="K357" s="2656"/>
      <c r="L357" s="2656"/>
      <c r="M357" s="2656"/>
      <c r="N357" s="74"/>
      <c r="O357" s="70"/>
      <c r="P357" s="777"/>
    </row>
    <row r="358" spans="1:18" s="43" customFormat="1" ht="13.5" customHeight="1" thickBot="1">
      <c r="A358" s="151" t="s">
        <v>3526</v>
      </c>
      <c r="B358" s="105" t="s">
        <v>6512</v>
      </c>
      <c r="C358" s="2656"/>
      <c r="D358" s="2656"/>
      <c r="E358" s="2656"/>
      <c r="F358" s="2656"/>
      <c r="G358" s="61" t="s">
        <v>6296</v>
      </c>
      <c r="H358" s="2656"/>
      <c r="I358" s="178" t="s">
        <v>3986</v>
      </c>
      <c r="J358" s="1292" t="str">
        <f>'Part I-Project Information'!$H$77</f>
        <v>Family</v>
      </c>
      <c r="K358" s="2656"/>
      <c r="L358" s="2656"/>
      <c r="M358" s="777">
        <v>2</v>
      </c>
      <c r="N358" s="74"/>
      <c r="O358" s="2605">
        <v>2</v>
      </c>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6"/>
      <c r="D360" s="2656"/>
      <c r="E360" s="2656"/>
      <c r="F360" s="2656"/>
      <c r="G360" s="2656"/>
      <c r="H360" s="2656"/>
      <c r="I360" s="2656"/>
      <c r="J360" s="2656"/>
      <c r="K360" s="2656"/>
      <c r="L360" s="1276"/>
      <c r="M360" s="777"/>
      <c r="N360" s="74"/>
      <c r="O360" s="2493" t="s">
        <v>2769</v>
      </c>
      <c r="P360" s="2964"/>
      <c r="Q360" s="108"/>
    </row>
    <row r="361" spans="1:18" s="101" customFormat="1" ht="11.25" customHeight="1">
      <c r="A361" s="151"/>
      <c r="B361" s="112" t="s">
        <v>6518</v>
      </c>
      <c r="D361" s="783" t="s">
        <v>6558</v>
      </c>
      <c r="E361" s="2660"/>
      <c r="F361" s="2660"/>
      <c r="G361" s="2660"/>
      <c r="H361" s="2660"/>
      <c r="K361" s="2660"/>
      <c r="L361" s="2660"/>
      <c r="N361" s="92"/>
      <c r="O361" s="4415" t="s">
        <v>4263</v>
      </c>
      <c r="P361" s="4415"/>
      <c r="Q361" s="108"/>
    </row>
    <row r="362" spans="1:18" s="414" customFormat="1" ht="10.5" customHeight="1">
      <c r="A362" s="413"/>
      <c r="B362" s="1677" t="s">
        <v>2324</v>
      </c>
      <c r="C362" s="921" t="s">
        <v>6513</v>
      </c>
      <c r="N362" s="425" t="s">
        <v>2324</v>
      </c>
      <c r="O362" s="2608" t="s">
        <v>6927</v>
      </c>
      <c r="P362" s="3017"/>
    </row>
    <row r="363" spans="1:18" s="401" customFormat="1" ht="21.75" customHeight="1">
      <c r="A363" s="142"/>
      <c r="B363" s="379" t="s">
        <v>2325</v>
      </c>
      <c r="C363" s="4086" t="s">
        <v>6514</v>
      </c>
      <c r="D363" s="4086"/>
      <c r="E363" s="4086"/>
      <c r="F363" s="4086"/>
      <c r="G363" s="4086"/>
      <c r="H363" s="4086"/>
      <c r="I363" s="4086"/>
      <c r="J363" s="4086"/>
      <c r="K363" s="4086"/>
      <c r="L363" s="4086"/>
      <c r="M363" s="4086"/>
      <c r="N363" s="159" t="s">
        <v>2325</v>
      </c>
      <c r="O363" s="2609" t="s">
        <v>6927</v>
      </c>
      <c r="P363" s="3018"/>
    </row>
    <row r="364" spans="1:18" s="401" customFormat="1" ht="21.75" customHeight="1">
      <c r="A364" s="142"/>
      <c r="B364" s="379" t="s">
        <v>2326</v>
      </c>
      <c r="C364" s="4086" t="s">
        <v>6516</v>
      </c>
      <c r="D364" s="4086"/>
      <c r="E364" s="4086"/>
      <c r="F364" s="4086"/>
      <c r="G364" s="4086"/>
      <c r="H364" s="4086"/>
      <c r="I364" s="4086"/>
      <c r="J364" s="4086"/>
      <c r="K364" s="4086"/>
      <c r="L364" s="4086"/>
      <c r="M364" s="4086"/>
      <c r="N364" s="159" t="s">
        <v>2326</v>
      </c>
      <c r="O364" s="2609" t="s">
        <v>6927</v>
      </c>
      <c r="P364" s="3018"/>
    </row>
    <row r="365" spans="1:18" s="101" customFormat="1" ht="11.25" customHeight="1">
      <c r="B365" s="366" t="s">
        <v>2327</v>
      </c>
      <c r="C365" s="36" t="s">
        <v>6517</v>
      </c>
      <c r="N365" s="439" t="s">
        <v>2327</v>
      </c>
      <c r="O365" s="2610" t="s">
        <v>6927</v>
      </c>
      <c r="P365" s="3019"/>
    </row>
    <row r="366" spans="1:18" s="101" customFormat="1" ht="11.25" customHeight="1">
      <c r="A366" s="151"/>
      <c r="B366" s="112" t="s">
        <v>6519</v>
      </c>
      <c r="D366" s="2660"/>
      <c r="E366" s="2660"/>
      <c r="F366" s="2660"/>
      <c r="G366" s="2660"/>
      <c r="H366" s="783" t="s">
        <v>6558</v>
      </c>
      <c r="K366" s="2660"/>
      <c r="L366" s="2660"/>
      <c r="M366" s="777"/>
      <c r="N366" s="92"/>
      <c r="O366" s="4421" t="s">
        <v>4263</v>
      </c>
      <c r="P366" s="4421"/>
      <c r="Q366" s="108"/>
    </row>
    <row r="367" spans="1:18" s="414" customFormat="1" ht="12.75" customHeight="1">
      <c r="A367" s="413"/>
      <c r="B367" s="1677" t="s">
        <v>2324</v>
      </c>
      <c r="C367" s="4422" t="s">
        <v>6520</v>
      </c>
      <c r="D367" s="4422"/>
      <c r="E367" s="4422"/>
      <c r="F367" s="4422"/>
      <c r="G367" s="4422"/>
      <c r="H367" s="4422"/>
      <c r="I367" s="4422"/>
      <c r="J367" s="4422"/>
      <c r="K367" s="4422"/>
      <c r="L367" s="4422"/>
      <c r="N367" s="425" t="s">
        <v>2324</v>
      </c>
      <c r="O367" s="2608" t="s">
        <v>6869</v>
      </c>
      <c r="P367" s="3017"/>
    </row>
    <row r="368" spans="1:18" s="414" customFormat="1" ht="12.75" customHeight="1">
      <c r="A368" s="413"/>
      <c r="B368" s="1677" t="s">
        <v>2325</v>
      </c>
      <c r="C368" s="4422" t="s">
        <v>6521</v>
      </c>
      <c r="D368" s="4422"/>
      <c r="E368" s="4422"/>
      <c r="F368" s="4422"/>
      <c r="G368" s="4422"/>
      <c r="H368" s="4422"/>
      <c r="I368" s="4422"/>
      <c r="J368" s="4422"/>
      <c r="K368" s="4422"/>
      <c r="L368" s="4422"/>
      <c r="M368" s="921"/>
      <c r="N368" s="425" t="s">
        <v>2325</v>
      </c>
      <c r="O368" s="2611" t="s">
        <v>6869</v>
      </c>
      <c r="P368" s="3020"/>
    </row>
    <row r="369" spans="1:23" s="33" customFormat="1" ht="5.25" customHeight="1" thickBot="1">
      <c r="A369" s="2661"/>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1"/>
      <c r="Q370" s="892" t="s">
        <v>2554</v>
      </c>
      <c r="S370" s="43"/>
      <c r="T370" s="43"/>
      <c r="U370" s="43"/>
    </row>
    <row r="371" spans="1:23" ht="12" customHeight="1">
      <c r="A371" s="478"/>
      <c r="B371" s="783" t="s">
        <v>6558</v>
      </c>
      <c r="C371" s="478"/>
      <c r="D371" s="478"/>
      <c r="E371" s="478"/>
      <c r="F371" s="478"/>
      <c r="J371" s="902"/>
      <c r="K371" s="902"/>
      <c r="L371" s="902"/>
      <c r="O371" s="4259" t="s">
        <v>4263</v>
      </c>
      <c r="P371" s="4259"/>
      <c r="Q371" s="2638"/>
      <c r="R371" s="43"/>
      <c r="S371" s="43"/>
      <c r="T371" s="43"/>
      <c r="U371" s="43"/>
    </row>
    <row r="372" spans="1:23" s="401" customFormat="1" ht="11.25" customHeight="1">
      <c r="A372" s="1678"/>
      <c r="B372" s="423" t="s">
        <v>1896</v>
      </c>
      <c r="C372" s="4414" t="s">
        <v>6559</v>
      </c>
      <c r="D372" s="4414"/>
      <c r="E372" s="4414"/>
      <c r="F372" s="4414"/>
      <c r="G372" s="4414"/>
      <c r="H372" s="4414"/>
      <c r="I372" s="4414"/>
      <c r="J372" s="4414"/>
      <c r="K372" s="4414"/>
      <c r="L372" s="4414"/>
      <c r="M372" s="4414"/>
      <c r="N372" s="381" t="s">
        <v>1896</v>
      </c>
      <c r="O372" s="2613" t="s">
        <v>6869</v>
      </c>
      <c r="P372" s="3022"/>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t="s">
        <v>6869</v>
      </c>
      <c r="P373" s="3023"/>
      <c r="Q373" s="108"/>
    </row>
    <row r="374" spans="1:23" s="43" customFormat="1" ht="11.25" customHeight="1" thickBot="1">
      <c r="A374" s="42"/>
      <c r="B374" s="1007" t="s">
        <v>3372</v>
      </c>
      <c r="C374" s="42"/>
      <c r="D374" s="48"/>
      <c r="E374" s="48"/>
      <c r="F374" s="48"/>
      <c r="G374" s="48"/>
      <c r="H374" s="36"/>
      <c r="I374" s="36"/>
      <c r="J374" s="36"/>
      <c r="K374" s="36"/>
      <c r="M374" s="46"/>
      <c r="N374" s="62"/>
      <c r="O374" s="3"/>
      <c r="P374" s="2653"/>
    </row>
    <row r="375" spans="1:23" s="43" customFormat="1" ht="66.599999999999994" customHeight="1" thickTop="1" thickBot="1">
      <c r="A375" s="4208" t="s">
        <v>7014</v>
      </c>
      <c r="B375" s="4209"/>
      <c r="C375" s="4209"/>
      <c r="D375" s="4209"/>
      <c r="E375" s="4209"/>
      <c r="F375" s="4209"/>
      <c r="G375" s="4209"/>
      <c r="H375" s="4209"/>
      <c r="I375" s="4209"/>
      <c r="J375" s="4209"/>
      <c r="K375" s="4209"/>
      <c r="L375" s="4209"/>
      <c r="M375" s="4209"/>
      <c r="N375" s="4209"/>
      <c r="O375" s="4209"/>
      <c r="P375" s="4210"/>
      <c r="Q375" s="933" t="s">
        <v>1208</v>
      </c>
      <c r="R375" s="428"/>
    </row>
    <row r="376" spans="1:23" s="43" customFormat="1" ht="10.5" customHeight="1" thickTop="1">
      <c r="B376" s="85" t="s">
        <v>1780</v>
      </c>
      <c r="C376" s="97"/>
      <c r="D376" s="85"/>
      <c r="E376" s="98"/>
      <c r="F376" s="2656"/>
      <c r="G376" s="2656"/>
      <c r="H376" s="2656"/>
      <c r="I376" s="2656"/>
      <c r="J376" s="2656"/>
      <c r="K376" s="2656"/>
      <c r="L376" s="2656"/>
      <c r="M376" s="2656"/>
      <c r="N376" s="74"/>
      <c r="O376" s="70"/>
      <c r="P376" s="2649"/>
      <c r="Q376" s="414"/>
    </row>
    <row r="377" spans="1:23" s="43" customFormat="1" ht="22.15" customHeight="1">
      <c r="A377" s="4161"/>
      <c r="B377" s="4162"/>
      <c r="C377" s="4162"/>
      <c r="D377" s="4162"/>
      <c r="E377" s="4162"/>
      <c r="F377" s="4162"/>
      <c r="G377" s="4162"/>
      <c r="H377" s="4162"/>
      <c r="I377" s="4162"/>
      <c r="J377" s="4162"/>
      <c r="K377" s="4162"/>
      <c r="L377" s="4162"/>
      <c r="M377" s="4162"/>
      <c r="N377" s="4162"/>
      <c r="O377" s="4162"/>
      <c r="P377" s="4163"/>
      <c r="Q377" s="427"/>
    </row>
    <row r="378" spans="1:23" s="43" customFormat="1" ht="4.5" customHeight="1" thickBot="1">
      <c r="A378" s="152"/>
      <c r="B378" s="42"/>
      <c r="C378" s="2656"/>
      <c r="D378" s="2656"/>
      <c r="E378" s="2656"/>
      <c r="F378" s="2656"/>
      <c r="G378" s="2656"/>
      <c r="H378" s="2656"/>
      <c r="I378" s="2656"/>
      <c r="J378" s="2656"/>
      <c r="K378" s="2656"/>
      <c r="L378" s="2656"/>
      <c r="M378" s="2656"/>
      <c r="N378" s="74"/>
      <c r="O378" s="70"/>
      <c r="P378" s="777"/>
    </row>
    <row r="379" spans="1:23" s="101" customFormat="1" ht="11.25" customHeight="1" thickBot="1">
      <c r="A379" s="152" t="s">
        <v>3527</v>
      </c>
      <c r="B379" s="104" t="s">
        <v>6524</v>
      </c>
      <c r="D379" s="45"/>
      <c r="E379" s="45"/>
      <c r="F379" s="39"/>
      <c r="M379" s="2649">
        <v>6</v>
      </c>
      <c r="N379" s="6"/>
      <c r="O379" s="2605"/>
      <c r="P379" s="965"/>
      <c r="Q379" s="108" t="s">
        <v>422</v>
      </c>
      <c r="R379" s="892" t="s">
        <v>2554</v>
      </c>
    </row>
    <row r="380" spans="1:23" s="101" customFormat="1" ht="10.5" customHeight="1">
      <c r="A380" s="66"/>
      <c r="B380" s="66" t="s">
        <v>1780</v>
      </c>
      <c r="C380" s="50"/>
      <c r="D380" s="66"/>
      <c r="E380" s="2660"/>
      <c r="F380" s="2660"/>
      <c r="G380" s="2660"/>
      <c r="H380" s="2660"/>
      <c r="I380" s="2660"/>
      <c r="J380" s="2660"/>
      <c r="K380" s="2660"/>
      <c r="L380" s="2660"/>
      <c r="M380" s="2660"/>
      <c r="N380" s="92"/>
      <c r="O380" s="767"/>
      <c r="P380" s="2649"/>
    </row>
    <row r="381" spans="1:23" s="43" customFormat="1" ht="10.9" customHeight="1">
      <c r="A381" s="4161"/>
      <c r="B381" s="4162"/>
      <c r="C381" s="4162"/>
      <c r="D381" s="4162"/>
      <c r="E381" s="4162"/>
      <c r="F381" s="4162"/>
      <c r="G381" s="4162"/>
      <c r="H381" s="4162"/>
      <c r="I381" s="4162"/>
      <c r="J381" s="4162"/>
      <c r="K381" s="4162"/>
      <c r="L381" s="4162"/>
      <c r="M381" s="4162"/>
      <c r="N381" s="4162"/>
      <c r="O381" s="4162"/>
      <c r="P381" s="4163"/>
      <c r="Q381" s="933" t="s">
        <v>1208</v>
      </c>
      <c r="R381" s="428"/>
    </row>
    <row r="382" spans="1:23" s="43" customFormat="1" ht="4.5" customHeight="1" thickBot="1">
      <c r="A382" s="152"/>
      <c r="B382" s="42"/>
      <c r="C382" s="2656"/>
      <c r="D382" s="2656"/>
      <c r="E382" s="2656"/>
      <c r="F382" s="2656"/>
      <c r="G382" s="2656"/>
      <c r="H382" s="2656"/>
      <c r="I382" s="2656"/>
      <c r="J382" s="2656"/>
      <c r="K382" s="2656"/>
      <c r="L382" s="2656"/>
      <c r="M382" s="2656"/>
      <c r="N382" s="74"/>
      <c r="O382" s="70"/>
      <c r="P382" s="777"/>
    </row>
    <row r="383" spans="1:23" s="101" customFormat="1" ht="11.25" customHeight="1" thickBot="1">
      <c r="A383" s="152" t="s">
        <v>3528</v>
      </c>
      <c r="B383" s="104" t="s">
        <v>6525</v>
      </c>
      <c r="D383" s="45"/>
      <c r="E383" s="45"/>
      <c r="F383" s="557"/>
      <c r="G383" s="36"/>
      <c r="M383" s="2649">
        <v>6</v>
      </c>
      <c r="N383" s="6"/>
      <c r="O383" s="2605"/>
      <c r="P383" s="965"/>
      <c r="Q383" s="108" t="s">
        <v>422</v>
      </c>
      <c r="R383" s="892" t="s">
        <v>2554</v>
      </c>
    </row>
    <row r="384" spans="1:23" s="101" customFormat="1" ht="10.5" customHeight="1">
      <c r="A384" s="66"/>
      <c r="B384" s="66" t="s">
        <v>1780</v>
      </c>
      <c r="C384" s="50"/>
      <c r="D384" s="66"/>
      <c r="E384" s="2660"/>
      <c r="F384" s="2660"/>
      <c r="G384" s="2660"/>
      <c r="H384" s="2660"/>
      <c r="I384" s="2660"/>
      <c r="J384" s="2660"/>
      <c r="K384" s="2660"/>
      <c r="L384" s="2660"/>
      <c r="M384" s="2660"/>
      <c r="N384" s="92"/>
      <c r="O384" s="767"/>
      <c r="P384" s="2649"/>
    </row>
    <row r="385" spans="1:18" s="43" customFormat="1" ht="10.9" customHeight="1">
      <c r="A385" s="4161"/>
      <c r="B385" s="4162"/>
      <c r="C385" s="4162"/>
      <c r="D385" s="4162"/>
      <c r="E385" s="4162"/>
      <c r="F385" s="4162"/>
      <c r="G385" s="4162"/>
      <c r="H385" s="4162"/>
      <c r="I385" s="4162"/>
      <c r="J385" s="4162"/>
      <c r="K385" s="4162"/>
      <c r="L385" s="4162"/>
      <c r="M385" s="4162"/>
      <c r="N385" s="4162"/>
      <c r="O385" s="4162"/>
      <c r="P385" s="4163"/>
      <c r="Q385" s="933" t="s">
        <v>1208</v>
      </c>
      <c r="R385" s="428"/>
    </row>
    <row r="386" spans="1:18" s="43" customFormat="1" ht="4.5" customHeight="1" thickBot="1">
      <c r="A386" s="152"/>
      <c r="B386" s="42"/>
      <c r="C386" s="2656"/>
      <c r="D386" s="2656"/>
      <c r="E386" s="2656"/>
      <c r="F386" s="2656"/>
      <c r="G386" s="2656"/>
      <c r="H386" s="2656"/>
      <c r="I386" s="2656"/>
      <c r="J386" s="2656"/>
      <c r="K386" s="2656"/>
      <c r="L386" s="2656"/>
      <c r="M386" s="2656"/>
      <c r="N386" s="74"/>
      <c r="O386" s="70"/>
      <c r="P386" s="777"/>
    </row>
    <row r="387" spans="1:18" s="101" customFormat="1" ht="11.25" customHeight="1" thickBot="1">
      <c r="A387" s="152" t="s">
        <v>3529</v>
      </c>
      <c r="B387" s="104" t="s">
        <v>6526</v>
      </c>
      <c r="D387" s="45"/>
      <c r="M387" s="2649">
        <v>2</v>
      </c>
      <c r="N387" s="6"/>
      <c r="O387" s="2605"/>
      <c r="P387" s="965"/>
      <c r="Q387" s="108" t="s">
        <v>422</v>
      </c>
      <c r="R387" s="892" t="s">
        <v>2554</v>
      </c>
    </row>
    <row r="388" spans="1:18" s="101" customFormat="1" ht="10.5" customHeight="1">
      <c r="A388" s="66"/>
      <c r="B388" s="66" t="s">
        <v>1780</v>
      </c>
      <c r="C388" s="50"/>
      <c r="D388" s="66"/>
      <c r="E388" s="2660"/>
      <c r="F388" s="2660"/>
      <c r="G388" s="2660"/>
      <c r="H388" s="2660"/>
      <c r="I388" s="2660"/>
      <c r="J388" s="2660"/>
      <c r="K388" s="2660"/>
      <c r="L388" s="2660"/>
      <c r="M388" s="2660"/>
      <c r="N388" s="92"/>
      <c r="O388" s="767"/>
      <c r="P388" s="2649"/>
    </row>
    <row r="389" spans="1:18" s="43" customFormat="1" ht="10.9" customHeight="1">
      <c r="A389" s="4161"/>
      <c r="B389" s="4162"/>
      <c r="C389" s="4162"/>
      <c r="D389" s="4162"/>
      <c r="E389" s="4162"/>
      <c r="F389" s="4162"/>
      <c r="G389" s="4162"/>
      <c r="H389" s="4162"/>
      <c r="I389" s="4162"/>
      <c r="J389" s="4162"/>
      <c r="K389" s="4162"/>
      <c r="L389" s="4162"/>
      <c r="M389" s="4162"/>
      <c r="N389" s="4162"/>
      <c r="O389" s="4162"/>
      <c r="P389" s="4163"/>
      <c r="Q389" s="933" t="s">
        <v>1208</v>
      </c>
      <c r="R389" s="428"/>
    </row>
    <row r="390" spans="1:18" s="43" customFormat="1" ht="4.5" customHeight="1" thickBot="1">
      <c r="A390" s="152"/>
      <c r="B390" s="42"/>
      <c r="C390" s="2656"/>
      <c r="D390" s="2656"/>
      <c r="E390" s="2656"/>
      <c r="F390" s="2656"/>
      <c r="G390" s="2656"/>
      <c r="H390" s="2656"/>
      <c r="I390" s="2656"/>
      <c r="J390" s="2656"/>
      <c r="K390" s="2656"/>
      <c r="L390" s="2656"/>
      <c r="M390" s="2656"/>
      <c r="N390" s="74"/>
      <c r="O390" s="70"/>
      <c r="P390" s="777"/>
    </row>
    <row r="391" spans="1:18" s="101" customFormat="1" ht="11.25" customHeight="1" thickBot="1">
      <c r="A391" s="152" t="s">
        <v>3530</v>
      </c>
      <c r="B391" s="104" t="s">
        <v>6527</v>
      </c>
      <c r="D391" s="45"/>
      <c r="M391" s="2649">
        <v>6</v>
      </c>
      <c r="N391" s="6"/>
      <c r="O391" s="2605"/>
      <c r="P391" s="965"/>
      <c r="Q391" s="108" t="s">
        <v>422</v>
      </c>
      <c r="R391" s="892" t="s">
        <v>2554</v>
      </c>
    </row>
    <row r="392" spans="1:18" s="101" customFormat="1" ht="10.5" customHeight="1">
      <c r="A392" s="66"/>
      <c r="B392" s="66" t="s">
        <v>1780</v>
      </c>
      <c r="C392" s="50"/>
      <c r="D392" s="66"/>
      <c r="E392" s="2660"/>
      <c r="F392" s="2660"/>
      <c r="G392" s="2660"/>
      <c r="H392" s="2660"/>
      <c r="I392" s="2660"/>
      <c r="J392" s="2660"/>
      <c r="K392" s="2660"/>
      <c r="L392" s="2660"/>
      <c r="M392" s="2660"/>
      <c r="N392" s="92"/>
      <c r="O392" s="767"/>
      <c r="P392" s="2649"/>
    </row>
    <row r="393" spans="1:18" s="43" customFormat="1" ht="10.9" customHeight="1">
      <c r="A393" s="4161"/>
      <c r="B393" s="4162"/>
      <c r="C393" s="4162"/>
      <c r="D393" s="4162"/>
      <c r="E393" s="4162"/>
      <c r="F393" s="4162"/>
      <c r="G393" s="4162"/>
      <c r="H393" s="4162"/>
      <c r="I393" s="4162"/>
      <c r="J393" s="4162"/>
      <c r="K393" s="4162"/>
      <c r="L393" s="4162"/>
      <c r="M393" s="4162"/>
      <c r="N393" s="4162"/>
      <c r="O393" s="4162"/>
      <c r="P393" s="4163"/>
      <c r="Q393" s="933" t="s">
        <v>1208</v>
      </c>
      <c r="R393" s="428"/>
    </row>
    <row r="394" spans="1:18" s="43" customFormat="1" ht="4.5" customHeight="1">
      <c r="A394" s="152"/>
      <c r="B394" s="42"/>
      <c r="C394" s="2656"/>
      <c r="D394" s="2656"/>
      <c r="E394" s="2656"/>
      <c r="F394" s="2656"/>
      <c r="G394" s="2656"/>
      <c r="H394" s="2656"/>
      <c r="I394" s="2656"/>
      <c r="J394" s="2656"/>
      <c r="K394" s="2656"/>
      <c r="L394" s="2656"/>
      <c r="M394" s="2656"/>
      <c r="N394" s="74"/>
      <c r="O394" s="70"/>
      <c r="P394" s="777"/>
    </row>
    <row r="395" spans="1:18" s="43" customFormat="1" ht="12" hidden="1" customHeight="1" thickBot="1">
      <c r="A395" s="152" t="s">
        <v>3531</v>
      </c>
      <c r="B395" s="105" t="s">
        <v>6561</v>
      </c>
      <c r="C395" s="87"/>
      <c r="D395" s="58"/>
      <c r="E395" s="52"/>
      <c r="G395" s="55"/>
      <c r="I395" s="1682" t="s">
        <v>6530</v>
      </c>
      <c r="J395" s="2656"/>
      <c r="L395" s="1683">
        <f>F70</f>
        <v>0</v>
      </c>
      <c r="M395" s="2649">
        <v>16</v>
      </c>
      <c r="N395" s="6"/>
      <c r="O395" s="2605"/>
      <c r="P395" s="965"/>
      <c r="Q395" s="108" t="s">
        <v>422</v>
      </c>
    </row>
    <row r="396" spans="1:18" s="43" customFormat="1" ht="10.5" hidden="1" customHeight="1">
      <c r="B396" s="85" t="s">
        <v>1780</v>
      </c>
      <c r="C396" s="97"/>
      <c r="D396" s="85"/>
      <c r="E396" s="98"/>
      <c r="F396" s="2656"/>
      <c r="G396" s="2656"/>
      <c r="H396" s="2656"/>
      <c r="I396" s="2656"/>
      <c r="J396" s="2656"/>
      <c r="K396" s="2656"/>
      <c r="L396" s="2656"/>
      <c r="M396" s="2656"/>
      <c r="N396" s="74"/>
      <c r="O396" s="70"/>
      <c r="P396" s="2649"/>
      <c r="Q396" s="414"/>
    </row>
    <row r="397" spans="1:18" s="43" customFormat="1" ht="11.25" hidden="1" customHeight="1">
      <c r="A397" s="4161"/>
      <c r="B397" s="4162"/>
      <c r="C397" s="4162"/>
      <c r="D397" s="4162"/>
      <c r="E397" s="4162"/>
      <c r="F397" s="4162"/>
      <c r="G397" s="4162"/>
      <c r="H397" s="4162"/>
      <c r="I397" s="4162"/>
      <c r="J397" s="4162"/>
      <c r="K397" s="4162"/>
      <c r="L397" s="4162"/>
      <c r="M397" s="4162"/>
      <c r="N397" s="4162"/>
      <c r="O397" s="4162"/>
      <c r="P397" s="4163"/>
      <c r="Q397" s="427"/>
    </row>
    <row r="398" spans="1:18" ht="2.25" hidden="1" customHeight="1"/>
    <row r="399" spans="1:18" s="43" customFormat="1" ht="2.25" hidden="1" customHeight="1">
      <c r="A399" s="42"/>
      <c r="C399" s="2656"/>
      <c r="D399" s="2656"/>
      <c r="E399" s="2656"/>
      <c r="F399" s="2656"/>
      <c r="G399" s="2656"/>
      <c r="H399" s="2656"/>
      <c r="I399" s="2656"/>
      <c r="J399" s="2656"/>
      <c r="K399" s="2656"/>
      <c r="L399" s="2656"/>
      <c r="M399" s="2656"/>
      <c r="N399" s="74"/>
      <c r="O399" s="70"/>
      <c r="P399" s="777"/>
    </row>
    <row r="400" spans="1:18" s="43" customFormat="1" ht="10.5" customHeight="1" thickBot="1">
      <c r="A400" s="152"/>
      <c r="B400" s="42"/>
      <c r="C400" s="2656"/>
      <c r="D400" s="2656"/>
      <c r="E400" s="2656"/>
      <c r="F400" s="2656"/>
      <c r="G400" s="2656"/>
      <c r="H400" s="2656"/>
      <c r="I400" s="2656"/>
      <c r="J400" s="2656"/>
      <c r="K400" s="2656"/>
      <c r="L400" s="2656"/>
      <c r="M400" s="2656"/>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9"/>
      <c r="O402" s="2649"/>
      <c r="P402" s="3"/>
    </row>
    <row r="403" spans="1:18" s="43" customFormat="1" ht="22.5" customHeight="1">
      <c r="A403" s="4408" t="s">
        <v>6281</v>
      </c>
      <c r="B403" s="4408"/>
      <c r="C403" s="4408"/>
      <c r="D403" s="4408"/>
      <c r="E403" s="4408"/>
      <c r="F403" s="4408"/>
      <c r="G403" s="4408"/>
      <c r="H403" s="4408"/>
      <c r="I403" s="4408"/>
      <c r="J403" s="4408"/>
      <c r="K403" s="4408"/>
      <c r="L403" s="4408"/>
      <c r="M403" s="4408"/>
      <c r="N403" s="4408"/>
      <c r="O403" s="4408"/>
      <c r="P403" s="4408"/>
    </row>
    <row r="404" spans="1:18" s="43" customFormat="1" ht="409.15" customHeight="1">
      <c r="A404" s="3965"/>
      <c r="B404" s="3966"/>
      <c r="C404" s="3966"/>
      <c r="D404" s="3966"/>
      <c r="E404" s="3966"/>
      <c r="F404" s="3966"/>
      <c r="G404" s="3966"/>
      <c r="H404" s="3966"/>
      <c r="I404" s="3966"/>
      <c r="J404" s="3966"/>
      <c r="K404" s="3966"/>
      <c r="L404" s="3966"/>
      <c r="M404" s="3966"/>
      <c r="N404" s="3966"/>
      <c r="O404" s="3966"/>
      <c r="P404" s="3967"/>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05" t="s">
        <v>1443</v>
      </c>
      <c r="H424" s="4405"/>
      <c r="I424" s="4405"/>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4272</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4273</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4273</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4272</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4272</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4272</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4272</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4273</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4272</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4272</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4273</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4273</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63OoExoeBCht/zPJsuJGZZcDRIzuYouux119hJMFgvhWHkmK5WTjLmvfk3ay55PuY6nUWyCrC+4j6df1BdPmYw==" saltValue="TunU2Ous03EBDsd2q4Miog=="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1" t="s">
        <v>2701</v>
      </c>
      <c r="B1" s="4441"/>
      <c r="C1" s="4441"/>
      <c r="D1" s="4441"/>
      <c r="E1" s="4441"/>
      <c r="F1" s="4441"/>
      <c r="G1" s="4441"/>
      <c r="H1" s="4441"/>
      <c r="I1" s="4441"/>
      <c r="J1" s="4441"/>
    </row>
    <row r="2" spans="1:16" ht="15.75">
      <c r="A2" s="4441" t="str">
        <f>'Sensitivity Analysis'!C8</f>
        <v>Hunters Haven</v>
      </c>
      <c r="B2" s="4441"/>
      <c r="C2" s="4441"/>
      <c r="D2" s="4441"/>
      <c r="E2" s="4441"/>
      <c r="F2" s="4441"/>
      <c r="G2" s="4441"/>
      <c r="H2" s="4441"/>
      <c r="I2" s="4441"/>
      <c r="J2" s="4441"/>
    </row>
    <row r="3" spans="1:16" ht="15.75">
      <c r="A3" s="4441" t="str">
        <f>'Subsidy Layering Memo'!F14</f>
        <v>Flemington, Liberty</v>
      </c>
      <c r="B3" s="4441"/>
      <c r="C3" s="4441"/>
      <c r="D3" s="4441"/>
      <c r="E3" s="4441"/>
      <c r="F3" s="4441"/>
      <c r="G3" s="4441"/>
      <c r="H3" s="4441"/>
      <c r="I3" s="4441"/>
      <c r="J3" s="4441"/>
    </row>
    <row r="4" spans="1:16" ht="15.75">
      <c r="A4" s="4442" t="s">
        <v>2702</v>
      </c>
      <c r="B4" s="4441"/>
      <c r="C4" s="4441"/>
      <c r="D4" s="4441"/>
      <c r="E4" s="4441"/>
      <c r="F4" s="4441"/>
      <c r="G4" s="4441"/>
      <c r="H4" s="4441"/>
      <c r="I4" s="4441"/>
      <c r="J4" s="4441"/>
    </row>
    <row r="5" spans="1:16" ht="5.25" customHeight="1"/>
    <row r="6" spans="1:16" ht="5.25" customHeight="1"/>
    <row r="7" spans="1:16" ht="15.75">
      <c r="A7" s="4443" t="s">
        <v>2703</v>
      </c>
      <c r="B7" s="4443"/>
      <c r="C7" s="4444"/>
      <c r="M7" s="4434"/>
      <c r="N7" s="4434"/>
      <c r="O7" s="4434"/>
      <c r="P7" s="4434"/>
    </row>
    <row r="8" spans="1:16" ht="57" customHeight="1">
      <c r="A8" s="4435" t="s">
        <v>6402</v>
      </c>
      <c r="B8" s="4435"/>
      <c r="C8" s="4435"/>
      <c r="D8" s="4435"/>
      <c r="E8" s="4435"/>
      <c r="F8" s="4435"/>
      <c r="G8" s="4435"/>
      <c r="H8" s="4435"/>
      <c r="I8" s="4435"/>
      <c r="J8" s="4435"/>
      <c r="K8" s="580"/>
    </row>
    <row r="9" spans="1:16" ht="45.75" customHeight="1">
      <c r="A9" s="44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Flemington, Liberty County, Georgia, with the development of 72 units set aside for Family.</v>
      </c>
      <c r="B9" s="4435"/>
      <c r="C9" s="4435"/>
      <c r="D9" s="4435"/>
      <c r="E9" s="4435"/>
      <c r="F9" s="4435"/>
      <c r="G9" s="4435"/>
      <c r="H9" s="4435"/>
      <c r="I9" s="4435"/>
      <c r="J9" s="4435"/>
      <c r="K9" s="580"/>
    </row>
    <row r="10" spans="1:16" ht="15.75">
      <c r="A10" s="581" t="s">
        <v>2704</v>
      </c>
    </row>
    <row r="11" spans="1:16" ht="16.5" customHeight="1">
      <c r="A11" s="4435" t="str">
        <f>'Subsidy Layering Memo'!A50</f>
        <v xml:space="preserve">Ownership entity:  (NAME) LP, a Georgia Limited Partnership, will be the ownership entity for the proposed project. </v>
      </c>
      <c r="B11" s="4437"/>
      <c r="C11" s="4437"/>
      <c r="D11" s="4437"/>
      <c r="E11" s="4437"/>
      <c r="F11" s="4437"/>
      <c r="G11" s="4437"/>
      <c r="H11" s="4437"/>
      <c r="I11" s="4437"/>
      <c r="J11" s="4435"/>
    </row>
    <row r="12" spans="1:16" ht="63.75" customHeight="1">
      <c r="A12" s="44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5"/>
      <c r="C12" s="4435"/>
      <c r="D12" s="4435"/>
      <c r="E12" s="4435"/>
      <c r="F12" s="4435"/>
      <c r="G12" s="4435"/>
      <c r="H12" s="4435"/>
      <c r="I12" s="4435"/>
      <c r="J12" s="4435"/>
    </row>
    <row r="13" spans="1:16" ht="48.75" customHeight="1">
      <c r="A13" s="44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5"/>
      <c r="C13" s="4435"/>
      <c r="D13" s="4435"/>
      <c r="E13" s="4435"/>
      <c r="F13" s="4435"/>
      <c r="G13" s="4435"/>
      <c r="H13" s="4435"/>
      <c r="I13" s="4435"/>
      <c r="J13" s="4435"/>
    </row>
    <row r="14" spans="1:16" ht="15.75">
      <c r="A14" s="581" t="s">
        <v>2705</v>
      </c>
      <c r="B14" s="582"/>
    </row>
    <row r="15" spans="1:16">
      <c r="A15" s="579" t="s">
        <v>2706</v>
      </c>
      <c r="D15" s="1337" t="s">
        <v>2707</v>
      </c>
    </row>
    <row r="16" spans="1:16">
      <c r="A16" s="579" t="s">
        <v>2708</v>
      </c>
      <c r="D16" s="1335">
        <f>'Sensitivity Analysis'!C25</f>
        <v>2289002</v>
      </c>
    </row>
    <row r="17" spans="1:11">
      <c r="A17" s="583" t="s">
        <v>2709</v>
      </c>
      <c r="D17" s="1336">
        <f>'Sensitivity Analysis'!C13</f>
        <v>72</v>
      </c>
    </row>
    <row r="18" spans="1:11" ht="14.25" customHeight="1"/>
    <row r="19" spans="1:11" ht="15.75">
      <c r="A19" s="581" t="s">
        <v>2710</v>
      </c>
      <c r="B19" s="582"/>
      <c r="C19" s="582"/>
    </row>
    <row r="20" spans="1:11" ht="48.75" customHeight="1">
      <c r="A20" s="44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8"/>
      <c r="C20" s="4438"/>
      <c r="D20" s="4438"/>
      <c r="E20" s="4438"/>
      <c r="F20" s="4438"/>
      <c r="G20" s="4438"/>
      <c r="H20" s="4438"/>
      <c r="I20" s="4438"/>
      <c r="J20" s="4438"/>
    </row>
    <row r="21" spans="1:11" ht="72.75" customHeight="1">
      <c r="A21" s="4435" t="str">
        <f>'Subsidy Layering Memo'!A67</f>
        <v>Direct Tax Credits (fund name TBD) will make a capital contribution totaling 8499150 via the syndication of the 2021 Federal LIHTC allocation of 1000000 per annum.Direct Tax Credits (fund name TBD) will make a capital contribution totaling 5000000 via the syndication of the 2021 State LIHTC allocation of 1000000 per annum.</v>
      </c>
      <c r="B21" s="4435"/>
      <c r="C21" s="4435"/>
      <c r="D21" s="4435"/>
      <c r="E21" s="4435"/>
      <c r="F21" s="4435"/>
      <c r="G21" s="4435"/>
      <c r="H21" s="4435"/>
      <c r="I21" s="4435"/>
      <c r="J21" s="4435"/>
    </row>
    <row r="22" spans="1:11" ht="43.5" customHeight="1">
      <c r="A22" s="4440" t="str">
        <f>'Subsidy Layering Memo'!A68</f>
        <v xml:space="preserve">The total equity price per credit will be 1.35 (0.85 Federal tax credit and 0.5 State tax credit) for a (X%) ownership interest of the Federal Credits and a (X%) ownership interest of the State Credits. </v>
      </c>
      <c r="B22" s="4440"/>
      <c r="C22" s="4440"/>
      <c r="D22" s="4440"/>
      <c r="E22" s="4440"/>
      <c r="F22" s="4440"/>
      <c r="G22" s="4440"/>
      <c r="H22" s="4440"/>
      <c r="I22" s="4440"/>
      <c r="J22" s="4440"/>
    </row>
    <row r="23" spans="1:11" ht="15.75">
      <c r="A23" s="581" t="s">
        <v>6403</v>
      </c>
      <c r="B23" s="582"/>
      <c r="C23" s="582"/>
      <c r="D23" s="582"/>
      <c r="E23" s="582"/>
      <c r="F23" s="582"/>
    </row>
    <row r="24" spans="1:11" ht="102.75" customHeight="1">
      <c r="A24" s="44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9"/>
      <c r="C24" s="4439"/>
      <c r="D24" s="4439"/>
      <c r="E24" s="4439"/>
      <c r="F24" s="4439"/>
      <c r="G24" s="4439"/>
      <c r="H24" s="4439"/>
      <c r="I24" s="4439"/>
      <c r="J24" s="4439"/>
      <c r="K24" s="1088"/>
    </row>
    <row r="25" spans="1:11" ht="15" customHeight="1">
      <c r="A25" s="4436"/>
      <c r="B25" s="4436"/>
      <c r="C25" s="4436"/>
      <c r="D25" s="4436"/>
      <c r="E25" s="4436"/>
      <c r="F25" s="4436"/>
      <c r="G25" s="4436"/>
      <c r="H25" s="4436"/>
      <c r="I25" s="4436"/>
      <c r="J25" s="4436"/>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Hunters Haven</v>
      </c>
    </row>
    <row r="13" spans="1:10" ht="15">
      <c r="A13" s="589"/>
      <c r="D13" s="588" t="s">
        <v>2724</v>
      </c>
      <c r="F13" s="1334" t="str">
        <f>'Sensitivity Analysis'!E8</f>
        <v>2021-041</v>
      </c>
    </row>
    <row r="14" spans="1:10" ht="15">
      <c r="A14" s="589"/>
      <c r="D14" s="588" t="s">
        <v>2725</v>
      </c>
      <c r="F14" s="1334" t="str">
        <f>'Sensitivity Analysis'!H8</f>
        <v>Flemington, Liberty</v>
      </c>
    </row>
    <row r="15" spans="1:10" ht="15">
      <c r="A15" s="589"/>
      <c r="D15" s="588" t="s">
        <v>3066</v>
      </c>
      <c r="F15" s="4445">
        <f>'Sensitivity Analysis'!$C$25</f>
        <v>2289002</v>
      </c>
      <c r="G15" s="4445"/>
      <c r="H15" s="4445"/>
    </row>
    <row r="16" spans="1:10" ht="15">
      <c r="A16" s="589"/>
      <c r="D16" s="591" t="s">
        <v>2726</v>
      </c>
      <c r="F16" s="592">
        <f>'Sensitivity Analysis'!C13</f>
        <v>72</v>
      </c>
      <c r="G16" s="593" t="s">
        <v>3067</v>
      </c>
      <c r="H16" s="1038">
        <f>'Sensitivity Analysis'!E13</f>
        <v>64</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6405</v>
      </c>
    </row>
    <row r="22" spans="1:18" ht="111.75" customHeight="1">
      <c r="A22" s="4452" t="s">
        <v>3219</v>
      </c>
      <c r="B22" s="4452"/>
      <c r="C22" s="4452"/>
      <c r="D22" s="4452"/>
      <c r="E22" s="4452"/>
      <c r="F22" s="4452"/>
      <c r="G22" s="4452"/>
      <c r="H22" s="4452"/>
      <c r="I22" s="4452"/>
      <c r="J22" s="4452"/>
      <c r="K22" s="4460" t="s">
        <v>4089</v>
      </c>
      <c r="L22" s="4460"/>
      <c r="M22" s="4460"/>
      <c r="N22" s="4460"/>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1"/>
      <c r="B24" s="4461"/>
      <c r="C24" s="4461"/>
      <c r="D24" s="4461"/>
      <c r="E24" s="4461"/>
      <c r="F24" s="4461"/>
      <c r="G24" s="4461"/>
      <c r="H24" s="4461"/>
      <c r="I24" s="4461"/>
      <c r="J24" s="4461"/>
    </row>
    <row r="25" spans="1:18" ht="10.5" hidden="1" customHeight="1">
      <c r="A25" s="4440"/>
      <c r="B25" s="4440"/>
      <c r="C25" s="4440"/>
      <c r="D25" s="4440"/>
      <c r="E25" s="4440"/>
      <c r="F25" s="4440"/>
      <c r="G25" s="4440"/>
      <c r="H25" s="4440"/>
      <c r="I25" s="4440"/>
      <c r="J25" s="4440"/>
    </row>
    <row r="26" spans="1:18" ht="15">
      <c r="A26" s="594" t="s">
        <v>6404</v>
      </c>
    </row>
    <row r="27" spans="1:18" ht="14.25" customHeight="1">
      <c r="A27" s="4462" t="s">
        <v>6406</v>
      </c>
      <c r="B27" s="4462"/>
      <c r="C27" s="4462"/>
      <c r="D27" s="4462"/>
      <c r="E27" s="4462"/>
      <c r="F27" s="4462"/>
      <c r="G27" s="4462"/>
      <c r="H27" s="4462"/>
      <c r="I27" s="4462"/>
      <c r="J27" s="4462"/>
    </row>
    <row r="28" spans="1:18" ht="14.25" customHeight="1">
      <c r="A28" s="4462"/>
      <c r="B28" s="4462"/>
      <c r="C28" s="4462"/>
      <c r="D28" s="4462"/>
      <c r="E28" s="4462"/>
      <c r="F28" s="4462"/>
      <c r="G28" s="4462"/>
      <c r="H28" s="4462"/>
      <c r="I28" s="4462"/>
      <c r="J28" s="4462"/>
    </row>
    <row r="29" spans="1:18" ht="6.75" customHeight="1">
      <c r="A29" s="4462"/>
      <c r="B29" s="4462"/>
      <c r="C29" s="4462"/>
      <c r="D29" s="4462"/>
      <c r="E29" s="4462"/>
      <c r="F29" s="4462"/>
      <c r="G29" s="4462"/>
      <c r="H29" s="4462"/>
      <c r="I29" s="4462"/>
      <c r="J29" s="4462"/>
    </row>
    <row r="30" spans="1:18" ht="21.75" customHeight="1">
      <c r="A30" s="4462"/>
      <c r="B30" s="4462"/>
      <c r="C30" s="4462"/>
      <c r="D30" s="4462"/>
      <c r="E30" s="4462"/>
      <c r="F30" s="4462"/>
      <c r="G30" s="4462"/>
      <c r="H30" s="4462"/>
      <c r="I30" s="4462"/>
      <c r="J30" s="4462"/>
    </row>
    <row r="31" spans="1:18" ht="20.25" customHeight="1">
      <c r="A31" s="4462"/>
      <c r="B31" s="4462"/>
      <c r="C31" s="4462"/>
      <c r="D31" s="4462"/>
      <c r="E31" s="4462"/>
      <c r="F31" s="4462"/>
      <c r="G31" s="4462"/>
      <c r="H31" s="4462"/>
      <c r="I31" s="4462"/>
      <c r="J31" s="4462"/>
    </row>
    <row r="32" spans="1:18" ht="54.75" customHeight="1">
      <c r="A32" s="4462"/>
      <c r="B32" s="4462"/>
      <c r="C32" s="4462"/>
      <c r="D32" s="4462"/>
      <c r="E32" s="4462"/>
      <c r="F32" s="4462"/>
      <c r="G32" s="4462"/>
      <c r="H32" s="4462"/>
      <c r="I32" s="4462"/>
      <c r="J32" s="4462"/>
    </row>
    <row r="33" spans="1:10" ht="0.75" hidden="1" customHeight="1">
      <c r="A33" s="4462"/>
      <c r="B33" s="4462"/>
      <c r="C33" s="4462"/>
      <c r="D33" s="4462"/>
      <c r="E33" s="4462"/>
      <c r="F33" s="4462"/>
      <c r="G33" s="4462"/>
      <c r="H33" s="4462"/>
      <c r="I33" s="4462"/>
      <c r="J33" s="4462"/>
    </row>
    <row r="34" spans="1:10" ht="3.75" hidden="1" customHeight="1">
      <c r="A34" s="4462"/>
      <c r="B34" s="4462"/>
      <c r="C34" s="4462"/>
      <c r="D34" s="4462"/>
      <c r="E34" s="4462"/>
      <c r="F34" s="4462"/>
      <c r="G34" s="4462"/>
      <c r="H34" s="4462"/>
      <c r="I34" s="4462"/>
      <c r="J34" s="4462"/>
    </row>
    <row r="35" spans="1:10" ht="5.25" customHeight="1">
      <c r="A35" s="1330"/>
      <c r="B35" s="1330"/>
      <c r="C35" s="1330"/>
      <c r="D35" s="1330"/>
      <c r="E35" s="1330"/>
      <c r="F35" s="1330"/>
      <c r="G35" s="1330"/>
      <c r="H35" s="1330"/>
      <c r="I35" s="1330"/>
      <c r="J35" s="1330"/>
    </row>
    <row r="36" spans="1:10" ht="19.5" customHeight="1">
      <c r="A36" s="4461" t="s">
        <v>6407</v>
      </c>
      <c r="B36" s="4461"/>
      <c r="C36" s="4461"/>
      <c r="D36" s="1328"/>
      <c r="E36" s="1328"/>
      <c r="F36" s="1328"/>
      <c r="G36" s="1328"/>
      <c r="H36" s="1328"/>
      <c r="I36" s="1328"/>
      <c r="J36" s="1328"/>
    </row>
    <row r="37" spans="1:10" ht="22.5" customHeight="1">
      <c r="A37" s="4440" t="s">
        <v>1658</v>
      </c>
      <c r="B37" s="4440"/>
      <c r="C37" s="4440"/>
      <c r="D37" s="4440"/>
      <c r="E37" s="4440"/>
      <c r="F37" s="4440"/>
      <c r="G37" s="4440"/>
      <c r="H37" s="4440"/>
      <c r="I37" s="4440"/>
      <c r="J37" s="4440"/>
    </row>
    <row r="38" spans="1:10" ht="22.5" customHeight="1">
      <c r="A38" s="4440" t="s">
        <v>1659</v>
      </c>
      <c r="B38" s="4440"/>
      <c r="C38" s="4440"/>
      <c r="D38" s="4440"/>
      <c r="E38" s="4440"/>
      <c r="F38" s="4440"/>
      <c r="G38" s="4440"/>
      <c r="H38" s="4440"/>
      <c r="I38" s="4440"/>
      <c r="J38" s="4440"/>
    </row>
    <row r="39" spans="1:10" ht="22.5" customHeight="1">
      <c r="A39" s="4440" t="s">
        <v>1660</v>
      </c>
      <c r="B39" s="4440"/>
      <c r="C39" s="4440"/>
      <c r="D39" s="4440"/>
      <c r="E39" s="4440"/>
      <c r="F39" s="4440"/>
      <c r="G39" s="4440"/>
      <c r="H39" s="4440"/>
      <c r="I39" s="4440"/>
      <c r="J39" s="4440"/>
    </row>
    <row r="40" spans="1:10" ht="22.5" customHeight="1">
      <c r="A40" s="4440" t="s">
        <v>2260</v>
      </c>
      <c r="B40" s="4440"/>
      <c r="C40" s="4440"/>
      <c r="D40" s="4440"/>
      <c r="E40" s="4440"/>
      <c r="F40" s="4440"/>
      <c r="G40" s="4440"/>
      <c r="H40" s="4440"/>
      <c r="I40" s="4440"/>
      <c r="J40" s="4440"/>
    </row>
    <row r="41" spans="1:10" ht="22.5" customHeight="1">
      <c r="A41" s="4440" t="s">
        <v>1487</v>
      </c>
      <c r="B41" s="4440"/>
      <c r="C41" s="4440"/>
      <c r="D41" s="4440"/>
      <c r="E41" s="4440"/>
      <c r="F41" s="4440"/>
      <c r="G41" s="4440"/>
      <c r="H41" s="4440"/>
      <c r="I41" s="4440"/>
      <c r="J41" s="4440"/>
    </row>
    <row r="42" spans="1:10" ht="22.5" customHeight="1">
      <c r="A42" s="4440" t="s">
        <v>1488</v>
      </c>
      <c r="B42" s="4440"/>
      <c r="C42" s="4440"/>
      <c r="D42" s="4440"/>
      <c r="E42" s="4440"/>
      <c r="F42" s="4440"/>
      <c r="G42" s="4440"/>
      <c r="H42" s="4440"/>
      <c r="I42" s="4440"/>
      <c r="J42" s="4440"/>
    </row>
    <row r="43" spans="1:10" ht="22.5" customHeight="1">
      <c r="A43" s="4440" t="s">
        <v>92</v>
      </c>
      <c r="B43" s="4440"/>
      <c r="C43" s="4440"/>
      <c r="D43" s="4440"/>
      <c r="E43" s="4440"/>
      <c r="F43" s="4440"/>
      <c r="G43" s="4440"/>
      <c r="H43" s="4440"/>
      <c r="I43" s="4440"/>
      <c r="J43" s="4440"/>
    </row>
    <row r="44" spans="1:10" ht="22.5" customHeight="1">
      <c r="A44" s="4440" t="s">
        <v>489</v>
      </c>
      <c r="B44" s="4440"/>
      <c r="C44" s="4440"/>
      <c r="D44" s="4440"/>
      <c r="E44" s="4440"/>
      <c r="F44" s="4440"/>
      <c r="G44" s="4440"/>
      <c r="H44" s="4440"/>
      <c r="I44" s="4440"/>
      <c r="J44" s="4440"/>
    </row>
    <row r="45" spans="1:10" ht="2.25" customHeight="1">
      <c r="A45" s="1328"/>
      <c r="B45" s="1328"/>
      <c r="C45" s="1328"/>
      <c r="D45" s="1328"/>
      <c r="E45" s="1328"/>
      <c r="F45" s="1328"/>
      <c r="G45" s="1328"/>
      <c r="H45" s="1328"/>
      <c r="I45" s="1328"/>
      <c r="J45" s="1328"/>
    </row>
    <row r="46" spans="1:10" ht="15">
      <c r="A46" s="594" t="s">
        <v>2727</v>
      </c>
    </row>
    <row r="47" spans="1:10" ht="135" customHeight="1">
      <c r="A47" s="4440" t="s">
        <v>6408</v>
      </c>
      <c r="B47" s="4440"/>
      <c r="C47" s="4440"/>
      <c r="D47" s="4440"/>
      <c r="E47" s="4440"/>
      <c r="F47" s="4440"/>
      <c r="G47" s="4440"/>
      <c r="H47" s="4440"/>
      <c r="I47" s="4440"/>
      <c r="J47" s="4440"/>
    </row>
    <row r="48" spans="1:10" ht="6" customHeight="1">
      <c r="A48" s="1329"/>
      <c r="B48" s="1329"/>
      <c r="C48" s="1329"/>
      <c r="D48" s="1329"/>
      <c r="E48" s="1329"/>
      <c r="F48" s="1329"/>
      <c r="G48" s="1329"/>
      <c r="H48" s="1329"/>
      <c r="I48" s="1329"/>
      <c r="J48" s="1329"/>
    </row>
    <row r="49" spans="1:12" ht="15">
      <c r="A49" s="594" t="s">
        <v>2728</v>
      </c>
    </row>
    <row r="50" spans="1:12" ht="33" customHeight="1">
      <c r="A50" s="4435" t="s">
        <v>3605</v>
      </c>
      <c r="B50" s="4437"/>
      <c r="C50" s="4437"/>
      <c r="D50" s="4437"/>
      <c r="E50" s="4437"/>
      <c r="F50" s="4437"/>
      <c r="G50" s="4437"/>
      <c r="H50" s="4437"/>
      <c r="I50" s="4437"/>
      <c r="J50" s="4435"/>
    </row>
    <row r="51" spans="1:12" ht="3" customHeight="1"/>
    <row r="52" spans="1:12" ht="72.75" customHeight="1">
      <c r="A52" s="4435" t="s">
        <v>3606</v>
      </c>
      <c r="B52" s="4435"/>
      <c r="C52" s="4435"/>
      <c r="D52" s="4435"/>
      <c r="E52" s="4435"/>
      <c r="F52" s="4435"/>
      <c r="G52" s="4435"/>
      <c r="H52" s="4435"/>
      <c r="I52" s="4435"/>
      <c r="J52" s="4435"/>
    </row>
    <row r="53" spans="1:12" ht="3" customHeight="1">
      <c r="A53" s="1328"/>
      <c r="B53" s="1328"/>
      <c r="C53" s="1328"/>
      <c r="D53" s="1328"/>
      <c r="E53" s="1328"/>
      <c r="F53" s="1328"/>
      <c r="G53" s="1328"/>
      <c r="H53" s="1328"/>
      <c r="I53" s="1328"/>
      <c r="J53" s="1328"/>
    </row>
    <row r="54" spans="1:12" ht="56.25" customHeight="1">
      <c r="A54" s="4435" t="s">
        <v>3607</v>
      </c>
      <c r="B54" s="4435"/>
      <c r="C54" s="4435"/>
      <c r="D54" s="4435"/>
      <c r="E54" s="4435"/>
      <c r="F54" s="4435"/>
      <c r="G54" s="4435"/>
      <c r="H54" s="4435"/>
      <c r="I54" s="4435"/>
      <c r="J54" s="4435"/>
    </row>
    <row r="55" spans="1:12" ht="3" customHeight="1">
      <c r="A55" s="1328"/>
      <c r="B55" s="1328"/>
      <c r="C55" s="1328"/>
      <c r="D55" s="1328"/>
      <c r="E55" s="1328"/>
      <c r="F55" s="1328"/>
      <c r="G55" s="1328"/>
      <c r="H55" s="1328"/>
      <c r="I55" s="1328"/>
      <c r="J55" s="1328"/>
    </row>
    <row r="56" spans="1:12" ht="49.5" customHeight="1">
      <c r="A56" s="4435" t="s">
        <v>3608</v>
      </c>
      <c r="B56" s="4435"/>
      <c r="C56" s="4435"/>
      <c r="D56" s="4435"/>
      <c r="E56" s="4435"/>
      <c r="F56" s="4435"/>
      <c r="G56" s="4435"/>
      <c r="H56" s="4435"/>
      <c r="I56" s="4435"/>
      <c r="J56" s="1328"/>
    </row>
    <row r="57" spans="1:12" ht="3" customHeight="1">
      <c r="A57" s="1328"/>
      <c r="B57" s="1328"/>
      <c r="C57" s="1328"/>
      <c r="D57" s="1328"/>
      <c r="E57" s="1328"/>
      <c r="F57" s="1328"/>
      <c r="G57" s="1328"/>
      <c r="H57" s="1328"/>
      <c r="I57" s="1328"/>
      <c r="J57" s="1328"/>
    </row>
    <row r="58" spans="1:12" ht="54.75" customHeight="1">
      <c r="A58" s="4451"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3609</v>
      </c>
      <c r="B60" s="4450"/>
      <c r="C60" s="4450"/>
      <c r="D60" s="4450"/>
      <c r="E60" s="4450"/>
      <c r="F60" s="4450"/>
      <c r="G60" s="4450"/>
      <c r="H60" s="4450"/>
      <c r="I60" s="4450"/>
      <c r="J60" s="4450"/>
    </row>
    <row r="61" spans="1:12" ht="3" customHeight="1"/>
    <row r="62" spans="1:12" ht="73.5" customHeight="1">
      <c r="A62" s="4435" t="s">
        <v>3610</v>
      </c>
      <c r="B62" s="4435"/>
      <c r="C62" s="4435"/>
      <c r="D62" s="4435"/>
      <c r="E62" s="4435"/>
      <c r="F62" s="4435"/>
      <c r="G62" s="4435"/>
      <c r="H62" s="4435"/>
      <c r="I62" s="4435"/>
      <c r="J62" s="4435"/>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2" t="s">
        <v>2730</v>
      </c>
      <c r="B65" s="4452"/>
      <c r="C65" s="4452"/>
      <c r="D65" s="4452"/>
      <c r="E65" s="4452"/>
      <c r="F65" s="4452"/>
      <c r="G65" s="4452"/>
      <c r="H65" s="4452"/>
      <c r="I65" s="4452"/>
      <c r="J65" s="4452"/>
      <c r="L65" s="596">
        <f>'Closing term sheet'!C135</f>
        <v>768191</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Direct Tax Credits (fund name TBD) will make a capital contribution totaling 8499150 via the syndication of the 2021 Federal LIHTC allocation of 1000000 per annum.Direct Tax Credits (fund name TBD) will make a capital contribution totaling 5000000 via the syndication of the 2021 State LIHTC allocation of 1000000 per annum.</v>
      </c>
      <c r="B67" s="4450"/>
      <c r="C67" s="4450"/>
      <c r="D67" s="4450"/>
      <c r="E67" s="4450"/>
      <c r="F67" s="4450"/>
      <c r="G67" s="4450"/>
      <c r="H67" s="4450"/>
      <c r="I67" s="4450"/>
      <c r="J67" s="601"/>
      <c r="L67" s="602">
        <f>'Part III-Sources of Funds'!I51</f>
        <v>8499150</v>
      </c>
      <c r="M67" s="603">
        <f>'Part IV-A-Uses of Funds'!$J$197</f>
        <v>1000000</v>
      </c>
      <c r="N67" s="604">
        <f>'Part IV-A-Uses of Funds'!N188</f>
        <v>0.85</v>
      </c>
      <c r="O67" s="602">
        <f>'Part III-Sources of Funds'!I52</f>
        <v>5000000</v>
      </c>
      <c r="P67" s="603">
        <f>M67</f>
        <v>1000000</v>
      </c>
      <c r="Q67" s="604">
        <f>'Part IV-A-Uses of Funds'!Q188</f>
        <v>0.5</v>
      </c>
    </row>
    <row r="68" spans="1:17" ht="39.75" customHeight="1">
      <c r="A68" s="44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453"/>
      <c r="C68" s="4453"/>
      <c r="D68" s="4453"/>
      <c r="E68" s="4453"/>
      <c r="F68" s="4453"/>
      <c r="G68" s="4453"/>
      <c r="H68" s="4453"/>
      <c r="I68" s="4453"/>
      <c r="J68" s="601"/>
      <c r="L68" s="1631"/>
      <c r="M68" s="1631"/>
      <c r="N68" s="1632"/>
      <c r="O68" s="1631"/>
      <c r="P68" s="1631"/>
      <c r="Q68" s="1632"/>
    </row>
    <row r="69" spans="1:17" ht="18.75" customHeight="1">
      <c r="A69" s="605" t="s">
        <v>2731</v>
      </c>
    </row>
    <row r="70" spans="1:17" ht="177" customHeight="1">
      <c r="A70" s="4450" t="s">
        <v>6409</v>
      </c>
      <c r="B70" s="4450"/>
      <c r="C70" s="4450"/>
      <c r="D70" s="4450"/>
      <c r="E70" s="4450"/>
      <c r="F70" s="4450"/>
      <c r="G70" s="4450"/>
      <c r="H70" s="4450"/>
      <c r="I70" s="4450"/>
      <c r="J70" s="4450"/>
      <c r="L70" s="606">
        <f>'Part VII-Pro Forma'!K72</f>
        <v>1474051.4305385652</v>
      </c>
      <c r="M70" s="4454" t="s">
        <v>3218</v>
      </c>
      <c r="N70" s="4455"/>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5" t="s">
        <v>2736</v>
      </c>
      <c r="B77" s="4435"/>
      <c r="C77" s="4435"/>
      <c r="D77" s="4435"/>
      <c r="E77" s="4435"/>
      <c r="F77" s="4435"/>
      <c r="G77" s="4435"/>
      <c r="H77" s="4435"/>
      <c r="I77" s="4435"/>
      <c r="J77" s="4435"/>
    </row>
    <row r="78" spans="1:17" ht="6" customHeight="1">
      <c r="A78" s="594"/>
    </row>
    <row r="79" spans="1:17" ht="15">
      <c r="A79" s="594" t="s">
        <v>2737</v>
      </c>
    </row>
    <row r="80" spans="1:17" ht="66" customHeight="1">
      <c r="A80" s="4435" t="s">
        <v>2738</v>
      </c>
      <c r="B80" s="4435"/>
      <c r="C80" s="4435"/>
      <c r="D80" s="4435"/>
      <c r="E80" s="4435"/>
      <c r="F80" s="4435"/>
      <c r="G80" s="4435"/>
      <c r="H80" s="4435"/>
      <c r="I80" s="4435"/>
      <c r="J80" s="4435"/>
    </row>
    <row r="81" spans="1:15" s="1330" customFormat="1" ht="6" customHeight="1">
      <c r="A81" s="4435"/>
      <c r="B81" s="4435"/>
      <c r="C81" s="4435"/>
      <c r="D81" s="4435"/>
      <c r="E81" s="4435"/>
      <c r="F81" s="4435"/>
      <c r="G81" s="4435"/>
      <c r="H81" s="4435"/>
      <c r="I81" s="4435"/>
      <c r="J81" s="4435"/>
    </row>
    <row r="82" spans="1:15" ht="16.5" customHeight="1">
      <c r="A82" s="1332" t="s">
        <v>2739</v>
      </c>
      <c r="B82" s="593"/>
      <c r="C82" s="593"/>
      <c r="D82" s="1334"/>
      <c r="E82" s="593"/>
      <c r="F82" s="593"/>
      <c r="G82" s="593"/>
      <c r="H82" s="593"/>
      <c r="I82" s="593"/>
      <c r="J82" s="607"/>
    </row>
    <row r="83" spans="1:15" s="1330" customFormat="1" ht="63" customHeight="1">
      <c r="A83" s="4435" t="s">
        <v>3812</v>
      </c>
      <c r="B83" s="4435"/>
      <c r="C83" s="4435"/>
      <c r="D83" s="4435"/>
      <c r="E83" s="4435"/>
      <c r="F83" s="4435"/>
      <c r="G83" s="4435"/>
      <c r="H83" s="4435"/>
      <c r="I83" s="4435"/>
      <c r="J83" s="4435"/>
    </row>
    <row r="84" spans="1:15" s="1330" customFormat="1" ht="6" customHeight="1">
      <c r="A84" s="1328"/>
      <c r="B84" s="1328"/>
      <c r="C84" s="1328"/>
      <c r="D84" s="1328"/>
      <c r="E84" s="1328"/>
      <c r="F84" s="1328"/>
      <c r="G84" s="1328"/>
      <c r="H84" s="1328"/>
      <c r="I84" s="1328"/>
      <c r="J84" s="1328"/>
    </row>
    <row r="85" spans="1:15" ht="16.5" customHeight="1">
      <c r="A85" s="4457" t="s">
        <v>2740</v>
      </c>
      <c r="B85" s="4458"/>
      <c r="C85" s="4458"/>
      <c r="D85" s="593"/>
      <c r="E85" s="593"/>
      <c r="F85" s="593"/>
      <c r="G85" s="593"/>
      <c r="H85" s="593"/>
      <c r="I85" s="593"/>
      <c r="J85" s="607"/>
    </row>
    <row r="86" spans="1:15" ht="41.25" customHeight="1">
      <c r="A86" s="4450" t="s">
        <v>6410</v>
      </c>
      <c r="B86" s="4459"/>
      <c r="C86" s="4459"/>
      <c r="D86" s="4459"/>
      <c r="E86" s="4459"/>
      <c r="F86" s="4459"/>
      <c r="G86" s="4459"/>
      <c r="H86" s="4459"/>
      <c r="I86" s="4459"/>
      <c r="J86" s="4459"/>
    </row>
    <row r="87" spans="1:15" ht="6" customHeight="1">
      <c r="A87" s="608"/>
      <c r="B87" s="593"/>
      <c r="C87" s="593"/>
      <c r="D87" s="593"/>
      <c r="E87" s="593"/>
      <c r="F87" s="593"/>
      <c r="G87" s="593"/>
      <c r="H87" s="593"/>
      <c r="I87" s="593"/>
      <c r="J87" s="607"/>
    </row>
    <row r="88" spans="1:15" ht="15">
      <c r="A88" s="594" t="s">
        <v>2741</v>
      </c>
    </row>
    <row r="89" spans="1:15" ht="124.15" customHeight="1">
      <c r="A89" s="4450" t="s">
        <v>2742</v>
      </c>
      <c r="B89" s="4450"/>
      <c r="C89" s="4450"/>
      <c r="D89" s="4450"/>
      <c r="E89" s="4450"/>
      <c r="F89" s="4450"/>
      <c r="G89" s="4450"/>
      <c r="H89" s="4450"/>
      <c r="I89" s="4450"/>
      <c r="J89" s="4450"/>
      <c r="L89" s="4460" t="s">
        <v>2743</v>
      </c>
      <c r="M89" s="4460"/>
      <c r="N89" s="4460"/>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60" t="s">
        <v>2746</v>
      </c>
      <c r="M92" s="4460"/>
      <c r="N92" s="609" t="e">
        <f>'After-Tax Analysis'!G66</f>
        <v>#VALUE!</v>
      </c>
      <c r="O92" s="610" t="s">
        <v>2747</v>
      </c>
    </row>
    <row r="93" spans="1:15" ht="6" customHeight="1">
      <c r="A93" s="594"/>
    </row>
    <row r="94" spans="1:15" ht="15">
      <c r="A94" s="594" t="s">
        <v>2748</v>
      </c>
    </row>
    <row r="95" spans="1:15" ht="118.5" customHeight="1">
      <c r="A95" s="4435" t="s">
        <v>2749</v>
      </c>
      <c r="B95" s="4435"/>
      <c r="C95" s="4435"/>
      <c r="D95" s="4435"/>
      <c r="E95" s="4435"/>
      <c r="F95" s="4435"/>
      <c r="G95" s="4435"/>
      <c r="H95" s="4435"/>
      <c r="I95" s="4435"/>
      <c r="J95" s="4435"/>
    </row>
    <row r="96" spans="1:15" ht="20.25" customHeight="1">
      <c r="A96" s="4437" t="s">
        <v>2750</v>
      </c>
      <c r="B96" s="4437"/>
      <c r="C96" s="4437"/>
      <c r="D96" s="4435"/>
      <c r="E96" s="1328"/>
      <c r="F96" s="1328"/>
      <c r="G96" s="1328"/>
      <c r="H96" s="1328"/>
      <c r="I96" s="1328"/>
      <c r="J96" s="1328"/>
    </row>
    <row r="97" spans="1:14" ht="109.5" customHeight="1">
      <c r="A97" s="4448" t="s">
        <v>2751</v>
      </c>
      <c r="B97" s="4449"/>
      <c r="C97" s="4449"/>
      <c r="D97" s="4449"/>
      <c r="E97" s="4449"/>
      <c r="F97" s="4449"/>
      <c r="G97" s="4449"/>
      <c r="H97" s="4449"/>
      <c r="I97" s="4449"/>
      <c r="J97" s="4449"/>
    </row>
    <row r="98" spans="1:14" ht="11.25" customHeight="1">
      <c r="A98" s="594"/>
    </row>
    <row r="99" spans="1:14" ht="15">
      <c r="A99" s="594" t="s">
        <v>2752</v>
      </c>
    </row>
    <row r="100" spans="1:14" ht="110.45" customHeight="1">
      <c r="A100" s="4452" t="s">
        <v>2753</v>
      </c>
      <c r="B100" s="4452"/>
      <c r="C100" s="4452"/>
      <c r="D100" s="4452"/>
      <c r="E100" s="4452"/>
      <c r="F100" s="4452"/>
      <c r="G100" s="4452"/>
      <c r="H100" s="4452"/>
      <c r="I100" s="4452"/>
      <c r="J100" s="4452"/>
      <c r="L100" s="1041">
        <f>'Part VII-Pro Forma'!K72</f>
        <v>1474051.4305385652</v>
      </c>
      <c r="M100" s="4456" t="s">
        <v>2754</v>
      </c>
      <c r="N100" s="4456"/>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7" t="s">
        <v>2755</v>
      </c>
      <c r="B104" s="4437"/>
      <c r="C104" s="4437"/>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5" t="s">
        <v>2758</v>
      </c>
      <c r="B108" s="4435"/>
      <c r="C108" s="4435"/>
      <c r="D108" s="4435"/>
      <c r="E108" s="4435"/>
      <c r="F108" s="4435"/>
      <c r="G108" s="4435"/>
      <c r="H108" s="4435"/>
      <c r="I108" s="4435"/>
      <c r="J108" s="4435"/>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46" t="s">
        <v>6274</v>
      </c>
      <c r="B120" s="4446"/>
      <c r="C120" s="4446"/>
      <c r="D120" s="4446"/>
      <c r="E120" s="4447"/>
      <c r="F120" s="1560" t="s">
        <v>6275</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2021-041  Hunters Haven</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4"/>
      <c r="J7" s="4464"/>
      <c r="K7" s="4464"/>
      <c r="L7" s="579"/>
      <c r="M7" s="579"/>
    </row>
    <row r="8" spans="1:14" ht="15.75">
      <c r="A8" s="582" t="s">
        <v>2767</v>
      </c>
      <c r="B8" s="582"/>
      <c r="C8" s="4464" t="str">
        <f>'Part I-Project Information'!F35</f>
        <v>Hunters Haven</v>
      </c>
      <c r="D8" s="4464"/>
      <c r="E8" s="1089" t="str">
        <f>'Part I-Project Information'!O7</f>
        <v>2021-041</v>
      </c>
      <c r="F8" s="618" t="s">
        <v>2768</v>
      </c>
      <c r="G8" s="617"/>
      <c r="H8" s="4464" t="str">
        <f>CONCATENATE('Part I-Project Information'!F39,", ",'Part I-Project Information'!J40)</f>
        <v>Flemington, Liberty</v>
      </c>
      <c r="I8" s="4464"/>
      <c r="J8" s="4464"/>
      <c r="K8" s="4464"/>
      <c r="L8" s="579"/>
      <c r="M8" s="619"/>
    </row>
    <row r="9" spans="1:14" ht="15.75">
      <c r="A9" s="582" t="s">
        <v>2770</v>
      </c>
      <c r="B9" s="582"/>
      <c r="C9" s="4464" t="s">
        <v>1691</v>
      </c>
      <c r="D9" s="4464"/>
      <c r="E9" s="617"/>
      <c r="F9" s="618" t="s">
        <v>2771</v>
      </c>
      <c r="G9" s="617"/>
      <c r="H9" s="4464" t="str">
        <f>'Part II-Development Team'!H6</f>
        <v>HH Family I, LP</v>
      </c>
      <c r="I9" s="4464"/>
      <c r="J9" s="4464"/>
      <c r="K9" s="4464"/>
      <c r="L9" s="4464"/>
      <c r="M9" s="619"/>
    </row>
    <row r="10" spans="1:14" ht="15.75">
      <c r="A10" s="582" t="s">
        <v>2773</v>
      </c>
      <c r="B10" s="579"/>
      <c r="C10" s="1089" t="str">
        <f>'Part II-Development Team'!H15</f>
        <v>HH Family I GP, LLC</v>
      </c>
      <c r="D10" s="617"/>
      <c r="E10" s="617"/>
      <c r="F10" s="618" t="s">
        <v>3252</v>
      </c>
      <c r="G10" s="617"/>
      <c r="H10" s="4464" t="str">
        <f>'Part II-Development Team'!H34</f>
        <v>Direct Tax Credits (fund name TBD)</v>
      </c>
      <c r="I10" s="4464"/>
      <c r="J10" s="4464"/>
      <c r="K10" s="4464" t="str">
        <f>'Part II-Development Team'!H40</f>
        <v>Direct Tax Credits (fund name TBD)</v>
      </c>
      <c r="L10" s="4464"/>
    </row>
    <row r="11" spans="1:14" ht="15.75">
      <c r="A11" s="582" t="s">
        <v>2774</v>
      </c>
      <c r="B11" s="579"/>
      <c r="C11" s="1089" t="str">
        <f>IF('Part II-Development Team'!H21="","",'Part II-Development Team'!H21)</f>
        <v>Talon HH I GP, LLC</v>
      </c>
      <c r="D11" s="617"/>
      <c r="E11" s="1035" t="str">
        <f>IF('Part II-Development Team'!H27="","",'Part II-Development Team'!H27)</f>
        <v>Grove Creek HH I GP, LLC</v>
      </c>
      <c r="F11" s="618" t="s">
        <v>622</v>
      </c>
      <c r="G11" s="617"/>
      <c r="H11" s="4464" t="str">
        <f>'Part II-Development Team'!H55</f>
        <v>Talon Development Company LLC</v>
      </c>
      <c r="I11" s="4464"/>
      <c r="J11" s="4464"/>
      <c r="K11" s="4464" t="str">
        <f>'Part II-Development Team'!H61</f>
        <v>North Grove Ventures, LLC</v>
      </c>
      <c r="L11" s="4464"/>
      <c r="M11" s="4464">
        <f>'Part II-Development Team'!H67</f>
        <v>0</v>
      </c>
      <c r="N11" s="4464"/>
    </row>
    <row r="12" spans="1:14" ht="15.75">
      <c r="A12" s="582" t="s">
        <v>2775</v>
      </c>
      <c r="B12" s="579"/>
      <c r="C12" s="1089" t="str">
        <f>'Part II-Development Team'!H87</f>
        <v>Prestwick Construction Company, LLC</v>
      </c>
      <c r="D12" s="617"/>
      <c r="E12" s="617"/>
      <c r="F12" s="618" t="s">
        <v>2776</v>
      </c>
      <c r="G12" s="617"/>
      <c r="H12" s="4464" t="str">
        <f>'Part II-Development Team'!H93</f>
        <v>Elmington Property Management</v>
      </c>
      <c r="I12" s="4464"/>
      <c r="J12" s="4464"/>
      <c r="K12" s="4464"/>
      <c r="L12" s="579"/>
      <c r="M12" s="579"/>
    </row>
    <row r="13" spans="1:14" ht="15.75">
      <c r="A13" s="582" t="s">
        <v>2777</v>
      </c>
      <c r="B13" s="618"/>
      <c r="C13" s="578">
        <f>'Part VI-Revenues &amp; Expenses'!$P$67</f>
        <v>72</v>
      </c>
      <c r="E13" s="1036">
        <f>'Part VI-Revenues &amp; Expenses'!$P$63</f>
        <v>64</v>
      </c>
      <c r="F13" s="618" t="s">
        <v>3604</v>
      </c>
      <c r="G13" s="617"/>
      <c r="H13" s="1090">
        <f>'Part I-Project Information'!H71</f>
        <v>1</v>
      </c>
      <c r="I13" s="1037"/>
      <c r="J13" s="1037"/>
      <c r="K13" s="1090">
        <f>'Part I-Project Information'!P70</f>
        <v>69584</v>
      </c>
      <c r="L13" s="579"/>
      <c r="M13" s="579"/>
    </row>
    <row r="14" spans="1:14" ht="15.75">
      <c r="A14" s="582" t="s">
        <v>3069</v>
      </c>
      <c r="B14" s="579"/>
      <c r="C14" s="1090" t="str">
        <f>'Part I-Project Information'!H77</f>
        <v>Family</v>
      </c>
      <c r="D14" s="4464" t="str">
        <f>IF('Part I-Project Information'!N69=0,"",'Part I-Project Information'!N69)</f>
        <v/>
      </c>
      <c r="E14" s="4464"/>
      <c r="F14" s="618" t="s">
        <v>2778</v>
      </c>
      <c r="G14" s="617"/>
      <c r="H14" s="4469" t="s">
        <v>3220</v>
      </c>
      <c r="I14" s="4469"/>
      <c r="J14" s="4469"/>
      <c r="K14" s="4469" t="s">
        <v>3220</v>
      </c>
      <c r="L14" s="4469"/>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15931770.43</v>
      </c>
      <c r="D18" s="1071">
        <f>IF(C18=0,"",$C$29/C18)</f>
        <v>0.14367530652398436</v>
      </c>
      <c r="E18" s="617" t="s">
        <v>3073</v>
      </c>
      <c r="F18" s="618" t="s">
        <v>3074</v>
      </c>
      <c r="G18" s="617"/>
      <c r="H18" s="4463">
        <f>'Part IV-A-Uses of Funds'!C49</f>
        <v>10411697</v>
      </c>
      <c r="I18" s="4463"/>
      <c r="J18" s="1070">
        <f>IF(H18=0,"",$C$29/H18)</f>
        <v>0.21984907935757256</v>
      </c>
      <c r="K18" s="4464" t="s">
        <v>3075</v>
      </c>
      <c r="L18" s="4464"/>
      <c r="M18" s="579"/>
    </row>
    <row r="19" spans="1:13" ht="15.75">
      <c r="A19" s="582" t="s">
        <v>2780</v>
      </c>
      <c r="B19" s="579"/>
      <c r="C19" s="1091">
        <f>C18/C13</f>
        <v>221274.58930555556</v>
      </c>
      <c r="D19" s="617"/>
      <c r="E19" s="579"/>
      <c r="F19" s="582" t="s">
        <v>2780</v>
      </c>
      <c r="G19" s="579"/>
      <c r="H19" s="4465">
        <f>H18/C13</f>
        <v>144606.90277777778</v>
      </c>
      <c r="I19" s="4465"/>
      <c r="J19" s="579"/>
      <c r="K19" s="579"/>
      <c r="L19" s="579"/>
      <c r="M19" s="579"/>
    </row>
    <row r="20" spans="1:13" ht="15.75">
      <c r="A20" s="582" t="s">
        <v>2781</v>
      </c>
      <c r="B20" s="579"/>
      <c r="C20" s="1093">
        <f>C18/K13</f>
        <v>228.95738143826168</v>
      </c>
      <c r="D20" s="622"/>
      <c r="E20" s="623"/>
      <c r="F20" s="582" t="s">
        <v>2781</v>
      </c>
      <c r="G20" s="579"/>
      <c r="H20" s="4466">
        <f>H18/K13</f>
        <v>149.62774488388135</v>
      </c>
      <c r="I20" s="4465"/>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Bellwether Enterprise</v>
      </c>
      <c r="C25" s="629">
        <f>'Part III-Sources of Funds'!I40</f>
        <v>2289002</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2289002</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13499150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2289002</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0.14367530652398436</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0.21984907935757256</v>
      </c>
      <c r="D40" s="579"/>
      <c r="E40" s="579"/>
      <c r="F40" s="582"/>
      <c r="G40" s="582" t="s">
        <v>2801</v>
      </c>
      <c r="H40" s="579"/>
      <c r="I40" s="579"/>
      <c r="K40" s="631">
        <f>C30/C18</f>
        <v>0.84731010023724029</v>
      </c>
      <c r="L40" s="579"/>
      <c r="M40" s="579"/>
    </row>
    <row r="46" spans="1:13" ht="15.75">
      <c r="A46" s="642" t="s">
        <v>2802</v>
      </c>
      <c r="B46" s="612"/>
      <c r="C46" s="612"/>
      <c r="D46" s="612"/>
      <c r="E46" s="612"/>
      <c r="F46" s="612"/>
      <c r="G46" s="612"/>
      <c r="H46" s="612"/>
      <c r="I46" s="612"/>
      <c r="J46" s="612"/>
      <c r="K46" s="612"/>
      <c r="L46" s="612"/>
      <c r="M46" s="579"/>
    </row>
    <row r="47" spans="1:13" ht="15.75">
      <c r="A47" s="642" t="str">
        <f>C8</f>
        <v>Hunters Haven</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7" t="s">
        <v>2805</v>
      </c>
      <c r="L50" s="4468"/>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567960</v>
      </c>
      <c r="D52" s="648"/>
      <c r="E52" s="648">
        <f>$C$52</f>
        <v>567960</v>
      </c>
      <c r="F52" s="648"/>
      <c r="G52" s="648">
        <f>$C$52</f>
        <v>567960</v>
      </c>
      <c r="H52" s="648"/>
      <c r="I52" s="648">
        <f>$C$52</f>
        <v>567960</v>
      </c>
      <c r="J52" s="648"/>
      <c r="K52" s="648">
        <f>$C$52</f>
        <v>567960</v>
      </c>
      <c r="L52" s="649"/>
      <c r="M52" s="27"/>
      <c r="N52" s="27"/>
    </row>
    <row r="53" spans="1:14" s="579" customFormat="1" ht="18.75" customHeight="1">
      <c r="B53" s="647" t="s">
        <v>2809</v>
      </c>
      <c r="C53" s="648">
        <f>'Part VII-Pro Forma'!B16</f>
        <v>11359.2</v>
      </c>
      <c r="D53" s="648"/>
      <c r="E53" s="648">
        <f>$C$53</f>
        <v>11359.2</v>
      </c>
      <c r="F53" s="648"/>
      <c r="G53" s="648">
        <f>$C$53</f>
        <v>11359.2</v>
      </c>
      <c r="H53" s="648"/>
      <c r="I53" s="648">
        <f>$C$53</f>
        <v>11359.2</v>
      </c>
      <c r="J53" s="648"/>
      <c r="K53" s="648">
        <f>$C$53</f>
        <v>11359.2</v>
      </c>
      <c r="L53" s="649"/>
      <c r="M53" s="27"/>
      <c r="N53" s="27"/>
    </row>
    <row r="54" spans="1:14" s="579" customFormat="1" ht="18.75" customHeight="1">
      <c r="B54" s="647" t="s">
        <v>2807</v>
      </c>
      <c r="C54" s="648">
        <f>'Part VII-Pro Forma'!B17</f>
        <v>-40552.343999999997</v>
      </c>
      <c r="D54" s="648"/>
      <c r="E54" s="648">
        <f>-($C$52+E53)*F50</f>
        <v>-57931.92</v>
      </c>
      <c r="F54" s="650"/>
      <c r="G54" s="648">
        <f>-($C$52+G53)*0.07</f>
        <v>-40552.343999999997</v>
      </c>
      <c r="H54" s="648"/>
      <c r="I54" s="648">
        <f>-($C$52+I53)*0.07</f>
        <v>-40552.343999999997</v>
      </c>
      <c r="J54" s="648"/>
      <c r="K54" s="648">
        <f>-($C$52+K53)*L54</f>
        <v>-57931.92</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538766.85599999991</v>
      </c>
      <c r="D56" s="648"/>
      <c r="E56" s="654">
        <f>SUM(E52:E55)</f>
        <v>521387.27999999997</v>
      </c>
      <c r="F56" s="648"/>
      <c r="G56" s="654">
        <f>SUM(G52:G55)</f>
        <v>538766.85599999991</v>
      </c>
      <c r="H56" s="648"/>
      <c r="I56" s="654">
        <f>SUM(I52:I55)</f>
        <v>538766.85599999991</v>
      </c>
      <c r="J56" s="648"/>
      <c r="K56" s="654">
        <f>SUM(K52:K55)</f>
        <v>521387.27999999997</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146400</v>
      </c>
      <c r="D58" s="648"/>
      <c r="E58" s="648">
        <f>$C$58</f>
        <v>146400</v>
      </c>
      <c r="F58" s="648"/>
      <c r="G58" s="648">
        <f>$C$58</f>
        <v>146400</v>
      </c>
      <c r="H58" s="648"/>
      <c r="I58" s="648">
        <f>$C$58</f>
        <v>146400</v>
      </c>
      <c r="J58" s="648"/>
      <c r="K58" s="648">
        <f>$C$58</f>
        <v>146400</v>
      </c>
      <c r="L58" s="649"/>
      <c r="M58" s="27"/>
      <c r="N58" s="27"/>
    </row>
    <row r="59" spans="1:14" s="579" customFormat="1" ht="18.75" customHeight="1">
      <c r="B59" s="647" t="s">
        <v>2812</v>
      </c>
      <c r="C59" s="648">
        <f>+'Part VI-Revenues &amp; Expenses'!F244</f>
        <v>30000</v>
      </c>
      <c r="D59" s="648"/>
      <c r="E59" s="648">
        <f>$C$59</f>
        <v>30000</v>
      </c>
      <c r="F59" s="648"/>
      <c r="G59" s="648">
        <f>$C$59</f>
        <v>30000</v>
      </c>
      <c r="H59" s="648"/>
      <c r="I59" s="648">
        <f>$C$59</f>
        <v>30000</v>
      </c>
      <c r="J59" s="648"/>
      <c r="K59" s="648">
        <f>$C$59*(1+$L$59)</f>
        <v>31200</v>
      </c>
      <c r="L59" s="656">
        <v>0.04</v>
      </c>
      <c r="M59" s="27"/>
      <c r="N59" s="27"/>
    </row>
    <row r="60" spans="1:14" s="579" customFormat="1" ht="18.75" customHeight="1">
      <c r="B60" s="647" t="s">
        <v>1326</v>
      </c>
      <c r="C60" s="648">
        <f>+'Part VI-Revenues &amp; Expenses'!L237</f>
        <v>62500</v>
      </c>
      <c r="D60" s="648"/>
      <c r="E60" s="648">
        <f>$C$60</f>
        <v>62500</v>
      </c>
      <c r="F60" s="648"/>
      <c r="G60" s="648">
        <f>$C$60</f>
        <v>62500</v>
      </c>
      <c r="H60" s="648"/>
      <c r="I60" s="648">
        <f>$C$60*(1+$J$50)</f>
        <v>64375</v>
      </c>
      <c r="J60" s="650"/>
      <c r="K60" s="648">
        <f>$C$60*(1+$J$50)</f>
        <v>64375</v>
      </c>
      <c r="L60" s="651">
        <v>0.03</v>
      </c>
      <c r="M60" s="27"/>
      <c r="N60" s="27"/>
    </row>
    <row r="61" spans="1:14" s="579" customFormat="1" ht="18.75" customHeight="1">
      <c r="B61" s="647" t="s">
        <v>1327</v>
      </c>
      <c r="C61" s="648">
        <f>+'Part VI-Revenues &amp; Expenses'!L244</f>
        <v>67050</v>
      </c>
      <c r="D61" s="648"/>
      <c r="E61" s="648">
        <f>$C$61</f>
        <v>67050</v>
      </c>
      <c r="F61" s="648"/>
      <c r="G61" s="648">
        <f>$C$61*(1+H50)</f>
        <v>70402.5</v>
      </c>
      <c r="H61" s="650"/>
      <c r="I61" s="648">
        <f>$C$61</f>
        <v>67050</v>
      </c>
      <c r="J61" s="648"/>
      <c r="K61" s="648">
        <f>$C$61*(1+$L$61)</f>
        <v>70402.5</v>
      </c>
      <c r="L61" s="651">
        <v>0.05</v>
      </c>
      <c r="M61" s="27"/>
      <c r="N61" s="27"/>
    </row>
    <row r="62" spans="1:14" s="579" customFormat="1" ht="18.75" customHeight="1">
      <c r="B62" s="653" t="s">
        <v>2813</v>
      </c>
      <c r="C62" s="654">
        <f>SUM(C58:C61)</f>
        <v>305950</v>
      </c>
      <c r="D62" s="648"/>
      <c r="E62" s="654">
        <f>SUM(E58:E61)</f>
        <v>305950</v>
      </c>
      <c r="F62" s="648"/>
      <c r="G62" s="654">
        <f>SUM(G58:G61)</f>
        <v>309302.5</v>
      </c>
      <c r="H62" s="648"/>
      <c r="I62" s="654">
        <f>SUM(I58:I61)</f>
        <v>307825</v>
      </c>
      <c r="J62" s="648"/>
      <c r="K62" s="654">
        <f>SUM(K58:K61)</f>
        <v>312377.5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232816.85599999991</v>
      </c>
      <c r="D64" s="660"/>
      <c r="E64" s="660">
        <f>E56-E62</f>
        <v>215437.27999999997</v>
      </c>
      <c r="F64" s="660"/>
      <c r="G64" s="660">
        <f>G56-G62</f>
        <v>229464.35599999991</v>
      </c>
      <c r="H64" s="660"/>
      <c r="I64" s="660">
        <f>I56-I62</f>
        <v>230941.85599999991</v>
      </c>
      <c r="J64" s="660"/>
      <c r="K64" s="660">
        <f>K56-K62</f>
        <v>209009.77999999997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18000</v>
      </c>
      <c r="D66" s="655"/>
      <c r="E66" s="655">
        <f>$C$66</f>
        <v>18000</v>
      </c>
      <c r="F66" s="655"/>
      <c r="G66" s="655">
        <f>$C$66</f>
        <v>18000</v>
      </c>
      <c r="H66" s="655"/>
      <c r="I66" s="655">
        <f>$C$66</f>
        <v>18000</v>
      </c>
      <c r="J66" s="655"/>
      <c r="K66" s="655">
        <f>$C$66</f>
        <v>18000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29632</v>
      </c>
      <c r="D68" s="655"/>
      <c r="E68" s="655">
        <f>$C$68</f>
        <v>29632</v>
      </c>
      <c r="F68" s="655"/>
      <c r="G68" s="655">
        <f>$C$68</f>
        <v>29632</v>
      </c>
      <c r="H68" s="655"/>
      <c r="I68" s="655">
        <f>$C$68</f>
        <v>29632</v>
      </c>
      <c r="J68" s="655"/>
      <c r="K68" s="655">
        <f>$C$68</f>
        <v>29632</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185184.85599999991</v>
      </c>
      <c r="D70" s="664"/>
      <c r="E70" s="663">
        <f>E64-E66-E68</f>
        <v>167805.27999999997</v>
      </c>
      <c r="F70" s="664"/>
      <c r="G70" s="663">
        <f>G64-G66-G68</f>
        <v>181832.35599999991</v>
      </c>
      <c r="H70" s="664"/>
      <c r="I70" s="663">
        <f>I64-I66-I68</f>
        <v>183309.85599999991</v>
      </c>
      <c r="J70" s="664"/>
      <c r="K70" s="663">
        <f>K64-K66-K68</f>
        <v>161377.77999999997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1.3108900579161111</v>
      </c>
      <c r="D72" s="666"/>
      <c r="E72" s="1072">
        <f>-E70/E75</f>
        <v>1.1878631869218792</v>
      </c>
      <c r="F72" s="666"/>
      <c r="G72" s="1072">
        <f>-G70/G75</f>
        <v>1.2871583175670851</v>
      </c>
      <c r="H72" s="666"/>
      <c r="I72" s="1072">
        <f>-I70/I75</f>
        <v>1.2976172724860071</v>
      </c>
      <c r="J72" s="666"/>
      <c r="K72" s="1072">
        <f>-K70/K75</f>
        <v>1.1423640784674827</v>
      </c>
      <c r="L72" s="667"/>
      <c r="M72" s="243"/>
      <c r="N72" s="243"/>
    </row>
    <row r="73" spans="1:14" s="579" customFormat="1" ht="18.75" customHeight="1">
      <c r="A73" s="27"/>
      <c r="B73" s="647" t="s">
        <v>2819</v>
      </c>
      <c r="C73" s="1073">
        <f>C76/C62</f>
        <v>0.14354748064265149</v>
      </c>
      <c r="D73" s="668"/>
      <c r="E73" s="1073">
        <f>E76/E62</f>
        <v>8.6742198733843062E-2</v>
      </c>
      <c r="F73" s="668"/>
      <c r="G73" s="1073">
        <f>G76/G62</f>
        <v>0.13115267966673153</v>
      </c>
      <c r="H73" s="668"/>
      <c r="I73" s="1073">
        <f>I76/I62</f>
        <v>0.13658199204944116</v>
      </c>
      <c r="J73" s="668"/>
      <c r="K73" s="1073">
        <f>K76/K62</f>
        <v>6.4381319725714189E-2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-141266.50429738068</v>
      </c>
      <c r="D75" s="648"/>
      <c r="E75" s="648">
        <f>$C$75</f>
        <v>-141266.50429738068</v>
      </c>
      <c r="F75" s="648"/>
      <c r="G75" s="648">
        <f>$C$75</f>
        <v>-141266.50429738068</v>
      </c>
      <c r="H75" s="648"/>
      <c r="I75" s="648">
        <f>$C$75</f>
        <v>-141266.50429738068</v>
      </c>
      <c r="J75" s="648"/>
      <c r="K75" s="648">
        <f>$C$75</f>
        <v>-141266.50429738068</v>
      </c>
      <c r="L75" s="33"/>
      <c r="M75" s="27"/>
      <c r="N75" s="27"/>
    </row>
    <row r="76" spans="1:14" s="579" customFormat="1" ht="18.75" customHeight="1">
      <c r="A76" s="27"/>
      <c r="B76" s="647" t="s">
        <v>1122</v>
      </c>
      <c r="C76" s="648">
        <f>C70+C75</f>
        <v>43918.351702619228</v>
      </c>
      <c r="D76" s="648"/>
      <c r="E76" s="648">
        <f>E70+E75</f>
        <v>26538.775702619285</v>
      </c>
      <c r="F76" s="648"/>
      <c r="G76" s="648">
        <f>G70+G75</f>
        <v>40565.851702619228</v>
      </c>
      <c r="H76" s="648"/>
      <c r="I76" s="648">
        <f>I70+I75</f>
        <v>42043.351702619228</v>
      </c>
      <c r="J76" s="648"/>
      <c r="K76" s="648">
        <f>K70+K75</f>
        <v>20111.275702619285</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15931770.43</v>
      </c>
    </row>
    <row r="5" spans="1:7">
      <c r="A5" s="1020" t="s">
        <v>3600</v>
      </c>
      <c r="B5" s="1021">
        <f>+B18+B26+B38</f>
        <v>1757447.9314613303</v>
      </c>
    </row>
    <row r="6" spans="1:7">
      <c r="A6" s="1020" t="s">
        <v>3570</v>
      </c>
      <c r="B6" s="1022">
        <f>+B5-B4</f>
        <v>-14174322.498538669</v>
      </c>
    </row>
    <row r="7" spans="1:7">
      <c r="A7" s="1020" t="s">
        <v>3571</v>
      </c>
      <c r="B7" s="1023">
        <f>+B6/B4</f>
        <v>-0.88968910020495884</v>
      </c>
    </row>
    <row r="8" spans="1:7" ht="9" customHeight="1"/>
    <row r="9" spans="1:7">
      <c r="A9" s="1020" t="s">
        <v>3572</v>
      </c>
      <c r="B9" s="1021">
        <f>+B18+B26+B33</f>
        <v>1757447.9314613303</v>
      </c>
    </row>
    <row r="10" spans="1:7">
      <c r="A10" s="1020" t="s">
        <v>3570</v>
      </c>
      <c r="B10" s="1022">
        <f>+B9-B4</f>
        <v>-14174322.498538669</v>
      </c>
    </row>
    <row r="11" spans="1:7">
      <c r="A11" s="1020" t="s">
        <v>3571</v>
      </c>
      <c r="B11" s="1023">
        <f>+B10/B4</f>
        <v>-0.88968910020495884</v>
      </c>
    </row>
    <row r="12" spans="1:7" ht="24" customHeight="1"/>
    <row r="13" spans="1:7">
      <c r="A13" s="1019" t="s">
        <v>3573</v>
      </c>
      <c r="D13" s="1078" t="s">
        <v>3817</v>
      </c>
      <c r="E13" s="1079"/>
    </row>
    <row r="14" spans="1:7">
      <c r="A14" s="1020" t="s">
        <v>3574</v>
      </c>
      <c r="B14" s="1024">
        <f>+SUM('Part III-Sources of Funds'!L51:M52)</f>
        <v>13500000</v>
      </c>
      <c r="D14" s="1079"/>
      <c r="E14" s="1079"/>
    </row>
    <row r="15" spans="1:7">
      <c r="A15" s="1020" t="s">
        <v>3575</v>
      </c>
      <c r="B15" s="1025">
        <f>+'Part IV-A-Uses of Funds'!J186</f>
        <v>1364276.8429999999</v>
      </c>
      <c r="D15" s="1079" t="s">
        <v>1953</v>
      </c>
      <c r="G15" s="1080">
        <f>'Part IV-A-Uses of Funds'!J168</f>
        <v>12355755.048888888</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5876397.1012515556</v>
      </c>
    </row>
    <row r="20" spans="1:7">
      <c r="A20" s="1020" t="s">
        <v>3578</v>
      </c>
      <c r="B20" s="1024">
        <f>+B18-B14</f>
        <v>-13500000</v>
      </c>
      <c r="D20" s="1079" t="s">
        <v>3822</v>
      </c>
      <c r="G20" s="1082">
        <f>+B14-G19</f>
        <v>7623602.8987484444</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2289002</v>
      </c>
    </row>
    <row r="25" spans="1:7">
      <c r="A25" s="1020" t="s">
        <v>3582</v>
      </c>
      <c r="B25" s="1028">
        <f>IF('Part III-Sources of Funds'!E6="Yes","N/A",MAX(B46:P46))</f>
        <v>-10843.489806055062</v>
      </c>
    </row>
    <row r="26" spans="1:7">
      <c r="A26" s="1020" t="s">
        <v>3583</v>
      </c>
      <c r="B26" s="1018">
        <f>IFERROR(PV('Part III-Sources of Funds'!K40,'Part III-Sources of Funds'!L40,B25+B45),B24)</f>
        <v>1757447.9314613303</v>
      </c>
    </row>
    <row r="27" spans="1:7" ht="9" customHeight="1">
      <c r="B27" s="1018"/>
    </row>
    <row r="28" spans="1:7">
      <c r="A28" s="1020" t="s">
        <v>3584</v>
      </c>
      <c r="B28" s="1029">
        <f>+B26-B24</f>
        <v>-531554.06853866973</v>
      </c>
      <c r="C28" s="1030"/>
    </row>
    <row r="29" spans="1:7">
      <c r="A29" s="1020" t="s">
        <v>3579</v>
      </c>
      <c r="B29" s="1031">
        <f>+B28/B24</f>
        <v>-0.23222088427125434</v>
      </c>
    </row>
    <row r="30" spans="1:7" ht="24" customHeight="1"/>
    <row r="31" spans="1:7">
      <c r="A31" s="1019" t="s">
        <v>3509</v>
      </c>
    </row>
    <row r="32" spans="1:7">
      <c r="A32" s="1020" t="s">
        <v>3585</v>
      </c>
      <c r="B32" s="1032">
        <f>+'Part III-Sources of Funds'!I45</f>
        <v>143618</v>
      </c>
    </row>
    <row r="33" spans="1:11">
      <c r="A33" s="1020" t="s">
        <v>3586</v>
      </c>
      <c r="B33" s="1018"/>
    </row>
    <row r="34" spans="1:11" ht="9" customHeight="1">
      <c r="B34" s="1018"/>
    </row>
    <row r="35" spans="1:11">
      <c r="A35" s="1020" t="s">
        <v>3587</v>
      </c>
      <c r="B35" s="1032">
        <f>+B33-B32</f>
        <v>-143618</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185184.85599999991</v>
      </c>
      <c r="C44" s="1021">
        <f>+'Part VII-Pro Forma'!C25</f>
        <v>185352.69311999995</v>
      </c>
      <c r="D44" s="1021">
        <f>+'Part VII-Pro Forma'!D25</f>
        <v>185417.4819824</v>
      </c>
      <c r="E44" s="1021">
        <f>+'Part VII-Pro Forma'!E25</f>
        <v>185374.78607204801</v>
      </c>
      <c r="F44" s="1021">
        <f>+'Part VII-Pro Forma'!F25</f>
        <v>185218.992676989</v>
      </c>
      <c r="G44" s="1021">
        <f>+'Part VII-Pro Forma'!G25</f>
        <v>184943.30674053376</v>
      </c>
      <c r="H44" s="1021">
        <f>+'Part VII-Pro Forma'!H25</f>
        <v>184543.74451164959</v>
      </c>
      <c r="I44" s="1021">
        <f>+'Part VII-Pro Forma'!I25</f>
        <v>184012.12698727674</v>
      </c>
      <c r="J44" s="1021">
        <f>+'Part VII-Pro Forma'!J25</f>
        <v>183344.07313997851</v>
      </c>
      <c r="K44" s="1021">
        <f>+'Part VII-Pro Forma'!K25</f>
        <v>182531.9929241229</v>
      </c>
    </row>
    <row r="45" spans="1:11">
      <c r="A45" s="1020" t="s">
        <v>3591</v>
      </c>
      <c r="B45" s="1021">
        <f>SUM('Part VII-Pro Forma'!B26:B29)</f>
        <v>-141266.50429738068</v>
      </c>
      <c r="C45" s="1021">
        <f>SUM('Part VII-Pro Forma'!C26:C29)</f>
        <v>-141266.50429738068</v>
      </c>
      <c r="D45" s="1021">
        <f>SUM('Part VII-Pro Forma'!D26:D29)</f>
        <v>-141266.50429738068</v>
      </c>
      <c r="E45" s="1021">
        <f>SUM('Part VII-Pro Forma'!E26:E29)</f>
        <v>-141266.50429738068</v>
      </c>
      <c r="F45" s="1021">
        <f>SUM('Part VII-Pro Forma'!F26:F29)</f>
        <v>-141266.50429738068</v>
      </c>
      <c r="G45" s="1021">
        <f>SUM('Part VII-Pro Forma'!G26:G29)</f>
        <v>-141266.50429738068</v>
      </c>
      <c r="H45" s="1021">
        <f>SUM('Part VII-Pro Forma'!H26:H29)</f>
        <v>-141266.50429738068</v>
      </c>
      <c r="I45" s="1021">
        <f>SUM('Part VII-Pro Forma'!I26:I29)</f>
        <v>-141266.50429738068</v>
      </c>
      <c r="J45" s="1021">
        <f>SUM('Part VII-Pro Forma'!J26:J29)</f>
        <v>-141266.50429738068</v>
      </c>
      <c r="K45" s="1021">
        <f>SUM('Part VII-Pro Forma'!K26:K29)</f>
        <v>-141266.50429738068</v>
      </c>
    </row>
    <row r="46" spans="1:11">
      <c r="A46" s="1020" t="s">
        <v>3592</v>
      </c>
      <c r="B46" s="1022">
        <f t="shared" ref="B46:K46" si="0">-B44/B48-B45</f>
        <v>-13054.209035952576</v>
      </c>
      <c r="C46" s="1022">
        <f t="shared" si="0"/>
        <v>-13194.073302619276</v>
      </c>
      <c r="D46" s="1022">
        <f t="shared" si="0"/>
        <v>-13248.064021286002</v>
      </c>
      <c r="E46" s="1022">
        <f t="shared" si="0"/>
        <v>-13212.484095992666</v>
      </c>
      <c r="F46" s="1022">
        <f t="shared" si="0"/>
        <v>-13082.656266776816</v>
      </c>
      <c r="G46" s="1022">
        <f t="shared" si="0"/>
        <v>-12852.917986397457</v>
      </c>
      <c r="H46" s="1022">
        <f t="shared" si="0"/>
        <v>-12519.94946232732</v>
      </c>
      <c r="I46" s="1022">
        <f t="shared" si="0"/>
        <v>-12076.934858683264</v>
      </c>
      <c r="J46" s="1022">
        <f t="shared" si="0"/>
        <v>-11520.223319268087</v>
      </c>
      <c r="K46" s="1022">
        <f t="shared" si="0"/>
        <v>-10843.489806055062</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185184.85599999991</v>
      </c>
      <c r="C51" s="1022">
        <f t="shared" ref="C51:K51" si="2">+C44</f>
        <v>185352.69311999995</v>
      </c>
      <c r="D51" s="1022">
        <f t="shared" si="2"/>
        <v>185417.4819824</v>
      </c>
      <c r="E51" s="1022">
        <f t="shared" si="2"/>
        <v>185374.78607204801</v>
      </c>
      <c r="F51" s="1022">
        <f t="shared" si="2"/>
        <v>185218.992676989</v>
      </c>
      <c r="G51" s="1022">
        <f t="shared" si="2"/>
        <v>184943.30674053376</v>
      </c>
      <c r="H51" s="1022">
        <f t="shared" si="2"/>
        <v>184543.74451164959</v>
      </c>
      <c r="I51" s="1022">
        <f t="shared" si="2"/>
        <v>184012.12698727674</v>
      </c>
      <c r="J51" s="1022">
        <f t="shared" si="2"/>
        <v>183344.07313997851</v>
      </c>
      <c r="K51" s="1022">
        <f t="shared" si="2"/>
        <v>182531.9929241229</v>
      </c>
    </row>
    <row r="52" spans="1:17">
      <c r="A52" s="1020" t="s">
        <v>3594</v>
      </c>
      <c r="B52" s="1022">
        <f>IF($B$25="N/A",B45,B45+$B$25)</f>
        <v>-152109.99410343575</v>
      </c>
      <c r="C52" s="1022">
        <f t="shared" ref="C52:K52" si="3">IF($B$25="N/A",C45,C45+$B$25)</f>
        <v>-152109.99410343575</v>
      </c>
      <c r="D52" s="1022">
        <f t="shared" si="3"/>
        <v>-152109.99410343575</v>
      </c>
      <c r="E52" s="1022">
        <f t="shared" si="3"/>
        <v>-152109.99410343575</v>
      </c>
      <c r="F52" s="1022">
        <f t="shared" si="3"/>
        <v>-152109.99410343575</v>
      </c>
      <c r="G52" s="1022">
        <f t="shared" si="3"/>
        <v>-152109.99410343575</v>
      </c>
      <c r="H52" s="1022">
        <f t="shared" si="3"/>
        <v>-152109.99410343575</v>
      </c>
      <c r="I52" s="1022">
        <f t="shared" si="3"/>
        <v>-152109.99410343575</v>
      </c>
      <c r="J52" s="1022">
        <f t="shared" si="3"/>
        <v>-152109.99410343575</v>
      </c>
      <c r="K52" s="1022">
        <f t="shared" si="3"/>
        <v>-152109.99410343575</v>
      </c>
    </row>
    <row r="53" spans="1:17">
      <c r="A53" s="1020" t="s">
        <v>3595</v>
      </c>
      <c r="B53" s="1021">
        <f>+'Part VII-Pro Forma'!B31</f>
        <v>-7200</v>
      </c>
      <c r="C53" s="1021">
        <f>+'Part VII-Pro Forma'!C31</f>
        <v>-7416</v>
      </c>
      <c r="D53" s="1021">
        <f>+'Part VII-Pro Forma'!D31</f>
        <v>-7638.4800000000005</v>
      </c>
      <c r="E53" s="1021">
        <f>+'Part VII-Pro Forma'!E31</f>
        <v>-7867.6344000000008</v>
      </c>
      <c r="F53" s="1021">
        <f>+'Part VII-Pro Forma'!F31</f>
        <v>-8103.6634320000012</v>
      </c>
      <c r="G53" s="1021">
        <f>+'Part VII-Pro Forma'!G31</f>
        <v>-8346.7733349600021</v>
      </c>
      <c r="H53" s="1021">
        <f>+'Part VII-Pro Forma'!H31</f>
        <v>-8597.1765350088026</v>
      </c>
      <c r="I53" s="1021">
        <f>+'Part VII-Pro Forma'!I31</f>
        <v>-8855.0918310590678</v>
      </c>
      <c r="J53" s="1021">
        <f>+'Part VII-Pro Forma'!J31</f>
        <v>-9120.7445859908403</v>
      </c>
      <c r="K53" s="1021">
        <f>+'Part VII-Pro Forma'!K31</f>
        <v>-9394.3669235705656</v>
      </c>
    </row>
    <row r="54" spans="1:17">
      <c r="A54" s="1020" t="s">
        <v>3596</v>
      </c>
      <c r="B54" s="1022">
        <f>+SUM(B51:B53)</f>
        <v>25874.861896564165</v>
      </c>
      <c r="C54" s="1022">
        <f t="shared" ref="C54:K54" si="4">+SUM(C51:C53)</f>
        <v>25826.699016564206</v>
      </c>
      <c r="D54" s="1022">
        <f t="shared" si="4"/>
        <v>25669.007878964254</v>
      </c>
      <c r="E54" s="1022">
        <f t="shared" si="4"/>
        <v>25397.15756861226</v>
      </c>
      <c r="F54" s="1022">
        <f t="shared" si="4"/>
        <v>25005.335141553252</v>
      </c>
      <c r="G54" s="1022">
        <f t="shared" si="4"/>
        <v>24486.539302138015</v>
      </c>
      <c r="H54" s="1022">
        <f t="shared" si="4"/>
        <v>23836.573873205045</v>
      </c>
      <c r="I54" s="1022">
        <f t="shared" si="4"/>
        <v>23047.041052781929</v>
      </c>
      <c r="J54" s="1022">
        <f t="shared" si="4"/>
        <v>22113.334450551927</v>
      </c>
      <c r="K54" s="1022">
        <f t="shared" si="4"/>
        <v>21027.631897116582</v>
      </c>
    </row>
    <row r="55" spans="1:17">
      <c r="A55" s="1020" t="s">
        <v>3509</v>
      </c>
      <c r="B55" s="1022">
        <f>-B54</f>
        <v>-25874.861896564165</v>
      </c>
      <c r="C55" s="1022">
        <f t="shared" ref="C55:K55" si="5">-C54</f>
        <v>-25826.699016564206</v>
      </c>
      <c r="D55" s="1022">
        <f t="shared" si="5"/>
        <v>-25669.007878964254</v>
      </c>
      <c r="E55" s="1022">
        <f t="shared" si="5"/>
        <v>-25397.15756861226</v>
      </c>
      <c r="F55" s="1022">
        <f t="shared" si="5"/>
        <v>-25005.335141553252</v>
      </c>
      <c r="G55" s="1022">
        <f t="shared" si="5"/>
        <v>-24486.539302138015</v>
      </c>
      <c r="H55" s="1022">
        <f t="shared" si="5"/>
        <v>-23836.573873205045</v>
      </c>
      <c r="I55" s="1022">
        <f t="shared" si="5"/>
        <v>-23047.041052781929</v>
      </c>
      <c r="J55" s="1022">
        <f t="shared" si="5"/>
        <v>-22113.334450551927</v>
      </c>
      <c r="K55" s="1022">
        <f t="shared" si="5"/>
        <v>-21027.631897116582</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1694371.4522672056</v>
      </c>
      <c r="C58" s="1021">
        <f>IF($B$26="","",-FV('Part III-Sources of Funds'!$K$40/12,12,C52/12,B58))</f>
        <v>1627968.7501389273</v>
      </c>
      <c r="D58" s="1021">
        <f>IF($B$26="","",-FV('Part III-Sources of Funds'!$K$40/12,12,D52/12,C58))</f>
        <v>1558064.4227847212</v>
      </c>
      <c r="E58" s="1021">
        <f>IF($B$26="","",-FV('Part III-Sources of Funds'!$K$40/12,12,E52/12,D58))</f>
        <v>1484473.8183932928</v>
      </c>
      <c r="F58" s="1021">
        <f>IF($B$26="","",-FV('Part III-Sources of Funds'!$K$40/12,12,F52/12,E58))</f>
        <v>1407002.5478773068</v>
      </c>
      <c r="G58" s="1021">
        <f>IF($B$26="","",-FV('Part III-Sources of Funds'!$K$40/12,12,G52/12,F58))</f>
        <v>1325445.9713959191</v>
      </c>
      <c r="H58" s="1021">
        <f>IF($B$26="","",-FV('Part III-Sources of Funds'!$K$40/12,12,H52/12,G58))</f>
        <v>1239588.6578000111</v>
      </c>
      <c r="I58" s="1021">
        <f>IF($B$26="","",-FV('Part III-Sources of Funds'!$K$40/12,12,I52/12,H58))</f>
        <v>1149203.8155722558</v>
      </c>
      <c r="J58" s="1021">
        <f>IF($B$26="","",-FV('Part III-Sources of Funds'!$K$40/12,12,J52/12,I58))</f>
        <v>1054052.6937588474</v>
      </c>
      <c r="K58" s="1021">
        <f>IF($B$26="","",-FV('Part III-Sources of Funds'!$K$40/12,12,K52/12,J58))</f>
        <v>953883.95131046115</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181569.08005359047</v>
      </c>
      <c r="C64" s="1021">
        <f>+'Part VII-Pro Forma'!C57</f>
        <v>180448.30454377696</v>
      </c>
      <c r="D64" s="1021">
        <f>+'Part VII-Pro Forma'!D57</f>
        <v>179163.40501044091</v>
      </c>
      <c r="E64" s="1021">
        <f>+'Part VII-Pro Forma'!E57</f>
        <v>177704.88071771141</v>
      </c>
      <c r="F64" s="1021">
        <f>+'Part VII-Pro Forma'!F57</f>
        <v>176066.98336733927</v>
      </c>
      <c r="G64" s="1021">
        <f>+'Part VII-Pro Forma'!G57</f>
        <v>174239.70862101781</v>
      </c>
      <c r="H64" s="1021">
        <f>+'Part VII-Pro Forma'!H57</f>
        <v>172215.78734736016</v>
      </c>
      <c r="I64" s="1021">
        <f>+'Part VII-Pro Forma'!I57</f>
        <v>169986.67658484695</v>
      </c>
      <c r="J64" s="1021">
        <f>+'Part VII-Pro Forma'!J57</f>
        <v>167542.55021179936</v>
      </c>
      <c r="K64" s="1021">
        <f>+'Part VII-Pro Forma'!K57</f>
        <v>164873.28931414874</v>
      </c>
    </row>
    <row r="65" spans="1:11">
      <c r="A65" s="1020" t="s">
        <v>3591</v>
      </c>
      <c r="B65" s="1021">
        <f>SUM('Part VII-Pro Forma'!B58:B61)</f>
        <v>-141266.50429738068</v>
      </c>
      <c r="C65" s="1021">
        <f>SUM('Part VII-Pro Forma'!C58:C61)</f>
        <v>-141266.50429738068</v>
      </c>
      <c r="D65" s="1021">
        <f>SUM('Part VII-Pro Forma'!D58:D61)</f>
        <v>-141266.50429738068</v>
      </c>
      <c r="E65" s="1021">
        <f>SUM('Part VII-Pro Forma'!E58:E61)</f>
        <v>-141266.50429738068</v>
      </c>
      <c r="F65" s="1021">
        <f>SUM('Part VII-Pro Forma'!F58:F61)</f>
        <v>-141266.50429738068</v>
      </c>
      <c r="G65" s="1021">
        <f>SUM('Part VII-Pro Forma'!G58:G61)</f>
        <v>-141266.50429738068</v>
      </c>
      <c r="H65" s="1021">
        <f>SUM('Part VII-Pro Forma'!H58:H61)</f>
        <v>-141266.50429738068</v>
      </c>
      <c r="I65" s="1021">
        <f>SUM('Part VII-Pro Forma'!I58:I61)</f>
        <v>-141266.50429738068</v>
      </c>
      <c r="J65" s="1021">
        <f>SUM('Part VII-Pro Forma'!J58:J61)</f>
        <v>-141266.50429738068</v>
      </c>
      <c r="K65" s="1021">
        <f>SUM('Part VII-Pro Forma'!K58:K61)</f>
        <v>-141266.50429738068</v>
      </c>
    </row>
    <row r="66" spans="1:11">
      <c r="A66" s="1020" t="s">
        <v>3592</v>
      </c>
      <c r="B66" s="1022">
        <f t="shared" ref="B66:K66" si="7">-B64/B68-B65</f>
        <v>-10041.062413944717</v>
      </c>
      <c r="C66" s="1022">
        <f t="shared" si="7"/>
        <v>-9107.0828224334691</v>
      </c>
      <c r="D66" s="1022">
        <f t="shared" si="7"/>
        <v>-8036.333211320074</v>
      </c>
      <c r="E66" s="1022">
        <f t="shared" si="7"/>
        <v>-6820.8963007121638</v>
      </c>
      <c r="F66" s="1022">
        <f t="shared" si="7"/>
        <v>-5455.9818420687225</v>
      </c>
      <c r="G66" s="1022">
        <f t="shared" si="7"/>
        <v>-3933.252886800823</v>
      </c>
      <c r="H66" s="1022">
        <f t="shared" si="7"/>
        <v>-2246.6518254194525</v>
      </c>
      <c r="I66" s="1022">
        <f t="shared" si="7"/>
        <v>-389.05952332512243</v>
      </c>
      <c r="J66" s="1022">
        <f t="shared" si="7"/>
        <v>1647.7124542145466</v>
      </c>
      <c r="K66" s="1022">
        <f t="shared" si="7"/>
        <v>3872.0965355900698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181569.08005359047</v>
      </c>
      <c r="C71" s="1022">
        <f t="shared" si="9"/>
        <v>180448.30454377696</v>
      </c>
      <c r="D71" s="1022">
        <f t="shared" si="9"/>
        <v>179163.40501044091</v>
      </c>
      <c r="E71" s="1022">
        <f t="shared" si="9"/>
        <v>177704.88071771141</v>
      </c>
      <c r="F71" s="1022">
        <f t="shared" si="9"/>
        <v>176066.98336733927</v>
      </c>
      <c r="G71" s="1022">
        <f t="shared" si="9"/>
        <v>174239.70862101781</v>
      </c>
      <c r="H71" s="1022">
        <f>+H64</f>
        <v>172215.78734736016</v>
      </c>
      <c r="I71" s="1022">
        <f>+I64</f>
        <v>169986.67658484695</v>
      </c>
      <c r="J71" s="1022">
        <f>+J64</f>
        <v>167542.55021179936</v>
      </c>
      <c r="K71" s="1022">
        <f>+K64</f>
        <v>164873.28931414874</v>
      </c>
    </row>
    <row r="72" spans="1:11">
      <c r="A72" s="1020" t="s">
        <v>3594</v>
      </c>
      <c r="B72" s="1022">
        <f t="shared" ref="B72:G72" si="10">IF($B$25="N/A",B65,B65+$B$25)</f>
        <v>-152109.99410343575</v>
      </c>
      <c r="C72" s="1022">
        <f t="shared" si="10"/>
        <v>-152109.99410343575</v>
      </c>
      <c r="D72" s="1022">
        <f t="shared" si="10"/>
        <v>-152109.99410343575</v>
      </c>
      <c r="E72" s="1022">
        <f t="shared" si="10"/>
        <v>-152109.99410343575</v>
      </c>
      <c r="F72" s="1022">
        <f t="shared" si="10"/>
        <v>-152109.99410343575</v>
      </c>
      <c r="G72" s="1022">
        <f t="shared" si="10"/>
        <v>-152109.99410343575</v>
      </c>
      <c r="H72" s="1022">
        <f>IF($B$25="N/A",H65,H65+$B$25)</f>
        <v>-152109.99410343575</v>
      </c>
      <c r="I72" s="1022">
        <f>IF($B$25="N/A",I65,I65+$B$25)</f>
        <v>-152109.99410343575</v>
      </c>
      <c r="J72" s="1022">
        <f>IF($B$25="N/A",J65,J65+$B$25)</f>
        <v>-152109.99410343575</v>
      </c>
      <c r="K72" s="1022">
        <f>IF($B$25="N/A",K65,K65+$B$25)</f>
        <v>-152109.99410343575</v>
      </c>
    </row>
    <row r="73" spans="1:11">
      <c r="A73" s="1020" t="s">
        <v>3595</v>
      </c>
      <c r="B73" s="1021">
        <f>+'Part VII-Pro Forma'!B63</f>
        <v>-9676.1979312776821</v>
      </c>
      <c r="C73" s="1021">
        <f>+'Part VII-Pro Forma'!C63</f>
        <v>-9966.483869216012</v>
      </c>
      <c r="D73" s="1021">
        <f>+'Part VII-Pro Forma'!D63</f>
        <v>-10265.478385292492</v>
      </c>
      <c r="E73" s="1021">
        <f>+'Part VII-Pro Forma'!E63</f>
        <v>-10573.442736851268</v>
      </c>
      <c r="F73" s="1021">
        <f>+'Part VII-Pro Forma'!F63</f>
        <v>-10890.646018956806</v>
      </c>
      <c r="G73" s="1021">
        <f>+'Part VII-Pro Forma'!G63</f>
        <v>-11217.36539952551</v>
      </c>
      <c r="H73" s="1021">
        <f>+'Part VII-Pro Forma'!H63</f>
        <v>-11553.886361511275</v>
      </c>
      <c r="I73" s="1021">
        <f>+'Part VII-Pro Forma'!I63</f>
        <v>-11900.502952356614</v>
      </c>
      <c r="J73" s="1021">
        <f>+'Part VII-Pro Forma'!J63</f>
        <v>-12257.518040927313</v>
      </c>
      <c r="K73" s="1021">
        <f>+'Part VII-Pro Forma'!K63</f>
        <v>-12625.243582155132</v>
      </c>
    </row>
    <row r="74" spans="1:11">
      <c r="A74" s="1020" t="s">
        <v>3596</v>
      </c>
      <c r="B74" s="1022">
        <f t="shared" ref="B74:G74" si="11">+SUM(B71:B73)</f>
        <v>19782.888018877042</v>
      </c>
      <c r="C74" s="1022">
        <f t="shared" si="11"/>
        <v>18371.826571125202</v>
      </c>
      <c r="D74" s="1022">
        <f t="shared" si="11"/>
        <v>16787.932521712672</v>
      </c>
      <c r="E74" s="1022">
        <f t="shared" si="11"/>
        <v>15021.443877424392</v>
      </c>
      <c r="F74" s="1022">
        <f t="shared" si="11"/>
        <v>13066.343244946718</v>
      </c>
      <c r="G74" s="1022">
        <f t="shared" si="11"/>
        <v>10912.349118056552</v>
      </c>
      <c r="H74" s="1022">
        <f>+SUM(H71:H73)</f>
        <v>8551.9068824131427</v>
      </c>
      <c r="I74" s="1022">
        <f>+SUM(I71:I73)</f>
        <v>5976.1795290545906</v>
      </c>
      <c r="J74" s="1022">
        <f>+SUM(J71:J73)</f>
        <v>3175.0380674363005</v>
      </c>
      <c r="K74" s="1022">
        <f>+SUM(K71:K73)</f>
        <v>138.05162855786511</v>
      </c>
    </row>
    <row r="75" spans="1:11">
      <c r="A75" s="1020" t="s">
        <v>3509</v>
      </c>
      <c r="B75" s="1022">
        <f t="shared" ref="B75:G75" si="12">-B74</f>
        <v>-19782.888018877042</v>
      </c>
      <c r="C75" s="1022">
        <f t="shared" si="12"/>
        <v>-18371.826571125202</v>
      </c>
      <c r="D75" s="1022">
        <f t="shared" si="12"/>
        <v>-16787.932521712672</v>
      </c>
      <c r="E75" s="1022">
        <f t="shared" si="12"/>
        <v>-15021.443877424392</v>
      </c>
      <c r="F75" s="1022">
        <f t="shared" si="12"/>
        <v>-13066.343244946718</v>
      </c>
      <c r="G75" s="1022">
        <f t="shared" si="12"/>
        <v>-10912.349118056552</v>
      </c>
      <c r="H75" s="1022">
        <f>-H74</f>
        <v>-8551.9068824131427</v>
      </c>
      <c r="I75" s="1022">
        <f>-I74</f>
        <v>-5976.1795290545906</v>
      </c>
      <c r="J75" s="1022">
        <f>-J74</f>
        <v>-3175.0380674363005</v>
      </c>
      <c r="K75" s="1022">
        <f>-K74</f>
        <v>-138.05162855786511</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848432.99316655786</v>
      </c>
      <c r="C78" s="1021">
        <f>IF($B$26="","",-FV('Part III-Sources of Funds'!$K$40/12,12,C72/12,B78))</f>
        <v>737421.27132930956</v>
      </c>
      <c r="D78" s="1021">
        <f>IF($B$26="","",-FV('Part III-Sources of Funds'!$K$40/12,12,D72/12,C78))</f>
        <v>620555.54908093286</v>
      </c>
      <c r="E78" s="1021">
        <f>IF($B$26="","",-FV('Part III-Sources of Funds'!$K$40/12,12,E72/12,D78))</f>
        <v>497527.12640086841</v>
      </c>
      <c r="F78" s="1021">
        <f>IF($B$26="","",-FV('Part III-Sources of Funds'!$K$40/12,12,F72/12,E78))</f>
        <v>368011.02453674935</v>
      </c>
      <c r="G78" s="1021">
        <f>IF($B$26="","",-FV('Part III-Sources of Funds'!$K$40/12,12,G72/12,F78))</f>
        <v>231665.12757520928</v>
      </c>
      <c r="H78" s="1021">
        <f>IF($B$26="","",-FV('Part III-Sources of Funds'!$K$40/12,12,H72/12,G78))</f>
        <v>88129.278744994459</v>
      </c>
      <c r="I78" s="1021">
        <f>IF($B$26="","",-FV('Part III-Sources of Funds'!$K$40/12,12,I72/12,H78))</f>
        <v>-62975.670934729074</v>
      </c>
      <c r="J78" s="1021">
        <f>IF($B$26="","",-FV('Part III-Sources of Funds'!$K$40/12,12,J72/12,I78))</f>
        <v>-222048.86417386233</v>
      </c>
      <c r="K78" s="1021">
        <f>IF($B$26="","",-FV('Part III-Sources of Funds'!$K$40/12,12,K72/12,J78))</f>
        <v>-389510.49174416123</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Hunters Haven</v>
      </c>
    </row>
    <row r="2" spans="1:15" ht="13.5" customHeight="1"/>
    <row r="3" spans="1:15" ht="13.5" customHeight="1">
      <c r="A3" s="589" t="s">
        <v>2826</v>
      </c>
      <c r="C3" s="588" t="s">
        <v>2827</v>
      </c>
      <c r="E3" s="674">
        <f>SUM('Part IV-A-Uses of Funds'!J162,'Part IV-A-Uses of Funds'!M162,'Part IV-A-Uses of Funds'!P162)</f>
        <v>13900224.43</v>
      </c>
      <c r="F3" s="1094" t="s">
        <v>2828</v>
      </c>
      <c r="H3" s="1074">
        <v>27.5</v>
      </c>
      <c r="I3" s="588" t="s">
        <v>2357</v>
      </c>
      <c r="K3" s="593" t="s">
        <v>2849</v>
      </c>
      <c r="M3" s="1094"/>
      <c r="O3" s="675"/>
    </row>
    <row r="4" spans="1:15" ht="13.5" customHeight="1">
      <c r="C4" s="588" t="s">
        <v>3248</v>
      </c>
      <c r="E4" s="674">
        <f>SUM('Part IV-A-Uses of Funds'!G97:H101)</f>
        <v>147890</v>
      </c>
      <c r="F4" s="1094" t="s">
        <v>3814</v>
      </c>
      <c r="H4" s="589">
        <f>'Part III-Sources of Funds'!M40</f>
        <v>35</v>
      </c>
      <c r="I4" s="588" t="s">
        <v>2357</v>
      </c>
      <c r="K4" s="676" t="s">
        <v>3077</v>
      </c>
      <c r="M4" s="1094"/>
    </row>
    <row r="5" spans="1:15" ht="13.5" customHeight="1">
      <c r="C5" s="588" t="s">
        <v>3249</v>
      </c>
      <c r="E5" s="674">
        <f>SUM('Part IV-A-Uses of Funds'!G105:H111)</f>
        <v>148100</v>
      </c>
      <c r="F5" s="1094" t="s">
        <v>3813</v>
      </c>
      <c r="H5" s="1074">
        <v>15</v>
      </c>
      <c r="I5" s="588" t="s">
        <v>2357</v>
      </c>
      <c r="K5" s="675">
        <f>-E6</f>
        <v>-13499150</v>
      </c>
    </row>
    <row r="6" spans="1:15" ht="13.5" customHeight="1">
      <c r="C6" s="588" t="s">
        <v>2829</v>
      </c>
      <c r="E6" s="677">
        <f>'Part III-Sources of Funds'!$I$51+'Part III-Sources of Funds'!$I$52</f>
        <v>13499150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0.35170261922758073</v>
      </c>
      <c r="D9" s="682">
        <f>'Part VII-Pro Forma'!C33</f>
        <v>0.18882261926773936</v>
      </c>
      <c r="E9" s="682">
        <f>'Part VII-Pro Forma'!D33</f>
        <v>0.49768501931248466</v>
      </c>
      <c r="F9" s="682">
        <f>'Part VII-Pro Forma'!E33</f>
        <v>-0.35262533267814433</v>
      </c>
      <c r="G9" s="682">
        <f>'Part VII-Pro Forma'!F33</f>
        <v>35848.824947608315</v>
      </c>
      <c r="H9" s="682">
        <f>'Part VII-Pro Forma'!G33</f>
        <v>35330.029108193077</v>
      </c>
      <c r="I9" s="682">
        <f>'Part VII-Pro Forma'!H33</f>
        <v>34680.063679260107</v>
      </c>
      <c r="K9" s="675" t="e">
        <f>F24</f>
        <v>#VALUE!</v>
      </c>
      <c r="N9" s="683" t="s">
        <v>2835</v>
      </c>
    </row>
    <row r="10" spans="1:15" ht="13.5" customHeight="1">
      <c r="A10" s="588" t="s">
        <v>2834</v>
      </c>
      <c r="C10" s="1044">
        <f>'Part III-Sources of Funds'!I40-'Part VII-Pro Forma'!B40</f>
        <v>23942.807687037624</v>
      </c>
      <c r="D10" s="684">
        <f>'Part VII-Pro Forma'!B40-'Part VII-Pro Forma'!C40</f>
        <v>25205.387923825532</v>
      </c>
      <c r="E10" s="684">
        <f>'Part VII-Pro Forma'!C40-'Part VII-Pro Forma'!D40</f>
        <v>26534.548023558222</v>
      </c>
      <c r="F10" s="684">
        <f>'Part VII-Pro Forma'!D40-'Part VII-Pro Forma'!E40</f>
        <v>27933.798953714781</v>
      </c>
      <c r="G10" s="684">
        <f>'Part VII-Pro Forma'!E40-'Part VII-Pro Forma'!F40</f>
        <v>29406.836826229934</v>
      </c>
      <c r="H10" s="684">
        <f>'Part VII-Pro Forma'!F40-'Part VII-Pro Forma'!G40</f>
        <v>30957.552660753485</v>
      </c>
      <c r="I10" s="684">
        <f>'Part VII-Pro Forma'!G40-'Part VII-Pro Forma'!H40</f>
        <v>32590.042662748368</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-18000</v>
      </c>
      <c r="D13" s="1045">
        <f>'Part VII-Pro Forma'!C23</f>
        <v>-18540</v>
      </c>
      <c r="E13" s="1045">
        <f>'Part VII-Pro Forma'!D23</f>
        <v>-19096.2</v>
      </c>
      <c r="F13" s="1045">
        <f>'Part VII-Pro Forma'!E23</f>
        <v>-19669.085999999999</v>
      </c>
      <c r="G13" s="1045">
        <f>'Part VII-Pro Forma'!F23</f>
        <v>-20259.158579999999</v>
      </c>
      <c r="H13" s="1045">
        <f>'Part VII-Pro Forma'!G23</f>
        <v>-20866.933337399998</v>
      </c>
      <c r="I13" s="1045">
        <f>'Part VII-Pro Forma'!H23</f>
        <v>-21492.941337521999</v>
      </c>
      <c r="K13" s="675" t="e">
        <f>C44</f>
        <v>#VALUE!</v>
      </c>
      <c r="O13" s="680"/>
    </row>
    <row r="14" spans="1:15" ht="13.5" customHeight="1">
      <c r="A14" s="686" t="s">
        <v>3251</v>
      </c>
      <c r="B14" s="687"/>
      <c r="C14" s="1045">
        <f>'Part VII-Pro Forma'!B32</f>
        <v>-36718</v>
      </c>
      <c r="D14" s="1045">
        <f>'Part VII-Pro Forma'!C32</f>
        <v>-36670</v>
      </c>
      <c r="E14" s="1045">
        <f>'Part VII-Pro Forma'!D32</f>
        <v>-36512</v>
      </c>
      <c r="F14" s="1045">
        <f>'Part VII-Pro Forma'!E32</f>
        <v>-36241</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505462.70654545451</v>
      </c>
      <c r="D15" s="689">
        <f t="shared" si="0"/>
        <v>505462.70654545451</v>
      </c>
      <c r="E15" s="689">
        <f t="shared" si="0"/>
        <v>505462.70654545451</v>
      </c>
      <c r="F15" s="689">
        <f t="shared" si="0"/>
        <v>505462.70654545451</v>
      </c>
      <c r="G15" s="689">
        <f t="shared" si="0"/>
        <v>505462.70654545451</v>
      </c>
      <c r="H15" s="689">
        <f t="shared" si="0"/>
        <v>505462.70654545451</v>
      </c>
      <c r="I15" s="689">
        <f t="shared" si="0"/>
        <v>505462.70654545451</v>
      </c>
      <c r="K15" s="675" t="e">
        <f>E44</f>
        <v>#VALUE!</v>
      </c>
      <c r="O15" s="680"/>
    </row>
    <row r="16" spans="1:15" ht="13.5" customHeight="1">
      <c r="A16" s="688" t="s">
        <v>2839</v>
      </c>
      <c r="C16" s="689">
        <f>IF(C$8&lt;=$H$4,($E$4/$H$4),0)+IF(C$8&lt;=$H$5,($E$5/$H$5),0)</f>
        <v>14098.761904761905</v>
      </c>
      <c r="D16" s="689">
        <f t="shared" ref="D16:I16" si="1">IF(D$8&lt;=$H$4,($E$4/$H$4),0)+IF(D$8&lt;=$H$5,($E$5/$H$5),0)</f>
        <v>14098.761904761905</v>
      </c>
      <c r="E16" s="689">
        <f t="shared" si="1"/>
        <v>14098.761904761905</v>
      </c>
      <c r="F16" s="689">
        <f t="shared" si="1"/>
        <v>14098.761904761905</v>
      </c>
      <c r="G16" s="689">
        <f t="shared" si="1"/>
        <v>14098.761904761905</v>
      </c>
      <c r="H16" s="689">
        <f t="shared" si="1"/>
        <v>14098.761904761905</v>
      </c>
      <c r="I16" s="689">
        <f t="shared" si="1"/>
        <v>14098.761904761905</v>
      </c>
      <c r="K16" s="675" t="e">
        <f>F44</f>
        <v>#VALUE!</v>
      </c>
      <c r="M16" s="588" t="s">
        <v>2843</v>
      </c>
      <c r="O16" s="680">
        <f>E3</f>
        <v>13900224.43</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10109254.130909091</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3790970.2990909088</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3790970.2990909088</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-3790970.2990909088</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33890.530858836995</v>
      </c>
      <c r="D29" s="682">
        <f>'Part VII-Pro Forma'!J33</f>
        <v>32956.824256606989</v>
      </c>
      <c r="E29" s="682">
        <f>'Part VII-Pro Forma'!K33</f>
        <v>31871.121703171644</v>
      </c>
      <c r="F29" s="682">
        <f>'Part VII-Pro Forma'!B65</f>
        <v>30626.377824932104</v>
      </c>
      <c r="G29" s="682">
        <f>'Part VII-Pro Forma'!C65</f>
        <v>29215.316377180265</v>
      </c>
      <c r="H29" s="682">
        <f>'Part VII-Pro Forma'!D65</f>
        <v>27631.422327767734</v>
      </c>
      <c r="I29" s="682">
        <f>'Part VII-Pro Forma'!E65</f>
        <v>25864.933683479452</v>
      </c>
      <c r="N29" s="693"/>
      <c r="O29" s="693"/>
    </row>
    <row r="30" spans="1:17" ht="13.5" customHeight="1">
      <c r="A30" s="588" t="s">
        <v>2834</v>
      </c>
      <c r="C30" s="684">
        <f>'Part VII-Pro Forma'!H40-'Part VII-Pro Forma'!I40</f>
        <v>34308.619043593295</v>
      </c>
      <c r="D30" s="684">
        <f>'Part VII-Pro Forma'!I40-'Part VII-Pro Forma'!J40</f>
        <v>36117.82141125761</v>
      </c>
      <c r="E30" s="684">
        <f>'Part VII-Pro Forma'!J40-'Part VII-Pro Forma'!K40</f>
        <v>38022.428761646617</v>
      </c>
      <c r="F30" s="1042">
        <f>'Part VII-Pro Forma'!K40-'Part VII-Pro Forma'!B72</f>
        <v>40027.472102286993</v>
      </c>
      <c r="G30" s="1042">
        <f>'Part VII-Pro Forma'!B72-'Part VII-Pro Forma'!C72</f>
        <v>42138.247741698753</v>
      </c>
      <c r="H30" s="1042">
        <f>'Part VII-Pro Forma'!C72-'Part VII-Pro Forma'!D72</f>
        <v>44360.331279559527</v>
      </c>
      <c r="I30" s="1042">
        <f>'Part VII-Pro Forma'!D72-'Part VII-Pro Forma'!E72</f>
        <v>46699.592334613204</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-758194.05981818179</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-22137.72957764766</v>
      </c>
      <c r="D33" s="1045">
        <f>'Part VII-Pro Forma'!J23</f>
        <v>-22801.861464977086</v>
      </c>
      <c r="E33" s="1045">
        <f>'Part VII-Pro Forma'!K23</f>
        <v>-23485.9173089264</v>
      </c>
      <c r="F33" s="1045">
        <f>'Part VII-Pro Forma'!B55</f>
        <v>-24190.494828194191</v>
      </c>
      <c r="G33" s="1045">
        <f>'Part VII-Pro Forma'!C55</f>
        <v>-24916.209673040019</v>
      </c>
      <c r="H33" s="1045">
        <f>'Part VII-Pro Forma'!D55</f>
        <v>-25663.695963231214</v>
      </c>
      <c r="I33" s="1045">
        <f>'Part VII-Pro Forma'!E55</f>
        <v>-26433.606842128149</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505462.70654545451</v>
      </c>
      <c r="D35" s="689">
        <f t="shared" si="8"/>
        <v>505462.70654545451</v>
      </c>
      <c r="E35" s="689">
        <f t="shared" si="8"/>
        <v>505462.70654545451</v>
      </c>
      <c r="F35" s="689">
        <f t="shared" si="8"/>
        <v>505462.70654545451</v>
      </c>
      <c r="G35" s="689">
        <f t="shared" si="8"/>
        <v>505462.70654545451</v>
      </c>
      <c r="H35" s="689">
        <f t="shared" si="8"/>
        <v>505462.70654545451</v>
      </c>
      <c r="I35" s="689">
        <f t="shared" si="8"/>
        <v>505462.70654545451</v>
      </c>
    </row>
    <row r="36" spans="1:15" ht="13.5" customHeight="1">
      <c r="A36" s="688" t="s">
        <v>2839</v>
      </c>
      <c r="C36" s="682">
        <f>IF(C$28&lt;=$H$4,($E$4/$H$4),0)+IF(C$28&lt;=$H$5,($E$5/$H$5),0)</f>
        <v>14098.761904761905</v>
      </c>
      <c r="D36" s="682">
        <f t="shared" ref="D36:I36" si="9">IF(D$28&lt;=$H$4,($E$4/$H$4),0)+IF(D$28&lt;=$H$5,($E$5/$H$5),0)</f>
        <v>14098.761904761905</v>
      </c>
      <c r="E36" s="682">
        <f t="shared" si="9"/>
        <v>14098.761904761905</v>
      </c>
      <c r="F36" s="682">
        <f t="shared" si="9"/>
        <v>14098.761904761905</v>
      </c>
      <c r="G36" s="682">
        <f t="shared" si="9"/>
        <v>14098.761904761905</v>
      </c>
      <c r="H36" s="682">
        <f t="shared" si="9"/>
        <v>14098.761904761905</v>
      </c>
      <c r="I36" s="682">
        <f t="shared" si="9"/>
        <v>14098.761904761905</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23909.83305100178</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49162.21004922851</v>
      </c>
      <c r="D50" s="1043">
        <f>'Part VII-Pro Forma'!F72-'Part VII-Pro Forma'!G72</f>
        <v>51754.689411561936</v>
      </c>
      <c r="E50" s="1043">
        <f>'Part VII-Pro Forma'!G72-'Part VII-Pro Forma'!H72</f>
        <v>54483.878438440384</v>
      </c>
      <c r="F50" s="1043">
        <f>'Part VII-Pro Forma'!H72-'Part VII-Pro Forma'!I72</f>
        <v>57356.986264351988</v>
      </c>
      <c r="G50" s="1043">
        <f>'Part VII-Pro Forma'!I72-'Part VII-Pro Forma'!J72</f>
        <v>60381.602184325224</v>
      </c>
      <c r="H50" s="1043">
        <f>'Part VII-Pro Forma'!J72-'Part VII-Pro Forma'!K72</f>
        <v>63565.71570100286</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-27226.615047391999</v>
      </c>
      <c r="D53" s="1045">
        <f>'Part VII-Pro Forma'!G55</f>
        <v>-28043.413498813759</v>
      </c>
      <c r="E53" s="1045">
        <f>'Part VII-Pro Forma'!H55</f>
        <v>-28884.715903778168</v>
      </c>
      <c r="F53" s="1045">
        <f>'Part VII-Pro Forma'!I55</f>
        <v>-29751.257380891511</v>
      </c>
      <c r="G53" s="1045">
        <f>'Part VII-Pro Forma'!J55</f>
        <v>-30643.795102318258</v>
      </c>
      <c r="H53" s="1045">
        <f>'Part VII-Pro Forma'!K55</f>
        <v>-31563.108955387805</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505462.70654545451</v>
      </c>
      <c r="D55" s="689">
        <f t="shared" si="14"/>
        <v>505462.70654545451</v>
      </c>
      <c r="E55" s="689">
        <f t="shared" si="14"/>
        <v>505462.70654545451</v>
      </c>
      <c r="F55" s="689">
        <f t="shared" si="14"/>
        <v>505462.70654545451</v>
      </c>
      <c r="G55" s="689">
        <f t="shared" si="14"/>
        <v>505462.70654545451</v>
      </c>
      <c r="H55" s="689">
        <f t="shared" si="14"/>
        <v>505462.70654545451</v>
      </c>
    </row>
    <row r="56" spans="1:10" ht="13.5" customHeight="1">
      <c r="A56" s="688" t="s">
        <v>2839</v>
      </c>
      <c r="C56" s="682">
        <f t="shared" ref="C56:H56" si="15">IF(C$48&lt;=$H$4,($E$4/$H$4),0)+IF(C$48&lt;=$H$5,($E$5/$H$5),0)</f>
        <v>14098.761904761905</v>
      </c>
      <c r="D56" s="682">
        <f t="shared" si="15"/>
        <v>4225.4285714285716</v>
      </c>
      <c r="E56" s="682">
        <f t="shared" si="15"/>
        <v>4225.4285714285716</v>
      </c>
      <c r="F56" s="682">
        <f t="shared" si="15"/>
        <v>4225.4285714285716</v>
      </c>
      <c r="G56" s="682">
        <f t="shared" si="15"/>
        <v>4225.4285714285716</v>
      </c>
      <c r="H56" s="682">
        <f t="shared" si="15"/>
        <v>4225.4285714285716</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70" t="e">
        <f>IRR(K5:K25)</f>
        <v>#VALUE!</v>
      </c>
      <c r="H66" s="4471"/>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3" t="str">
        <f>'Sensitivity Analysis'!C8</f>
        <v>Hunters Haven</v>
      </c>
      <c r="B1" s="4473"/>
      <c r="C1" s="4473"/>
      <c r="D1" s="4473"/>
      <c r="E1" s="4473"/>
      <c r="F1" s="4473"/>
      <c r="G1" s="4473"/>
      <c r="H1" s="4473"/>
      <c r="I1" s="4473"/>
      <c r="J1" s="4473"/>
      <c r="K1" s="4473"/>
    </row>
    <row r="2" spans="1:11" s="1543" customFormat="1" ht="17.45" customHeight="1">
      <c r="A2" s="4472" t="s">
        <v>3006</v>
      </c>
      <c r="B2" s="4472"/>
      <c r="C2" s="4472"/>
      <c r="D2" s="4472"/>
      <c r="E2" s="4472"/>
      <c r="F2" s="4472"/>
      <c r="G2" s="4472"/>
      <c r="H2" s="4472"/>
      <c r="I2" s="4472"/>
      <c r="J2" s="4472"/>
      <c r="K2" s="4472"/>
    </row>
    <row r="3" spans="1:11" ht="9" customHeight="1">
      <c r="A3" s="1542"/>
      <c r="B3" s="1542"/>
      <c r="C3" s="1542"/>
      <c r="D3" s="1542"/>
      <c r="E3" s="1542"/>
      <c r="G3" s="1542"/>
      <c r="H3" s="1542"/>
      <c r="J3" s="1542"/>
      <c r="K3" s="1542"/>
    </row>
    <row r="4" spans="1:11" ht="12.6" customHeight="1">
      <c r="A4" s="4474" t="s">
        <v>6270</v>
      </c>
      <c r="B4" s="4474"/>
      <c r="C4" s="1544"/>
      <c r="D4" s="4474" t="s">
        <v>6271</v>
      </c>
      <c r="E4" s="4474"/>
      <c r="F4" s="1545"/>
      <c r="G4" s="4474" t="s">
        <v>6272</v>
      </c>
      <c r="H4" s="4474"/>
      <c r="I4" s="1545"/>
      <c r="J4" s="4474" t="s">
        <v>6430</v>
      </c>
      <c r="K4" s="4474"/>
    </row>
    <row r="5" spans="1:11" ht="25.9" customHeight="1">
      <c r="A5" s="4475" t="str">
        <f>'Part III-Sources of Funds'!E40</f>
        <v>Bellwether Enterprise</v>
      </c>
      <c r="B5" s="4476"/>
      <c r="C5" s="1543"/>
      <c r="D5" s="4475">
        <f>'Part III-Sources of Funds'!E41</f>
        <v>0</v>
      </c>
      <c r="E5" s="4476"/>
      <c r="F5" s="1546"/>
      <c r="G5" s="4475">
        <f>'Part III-Sources of Funds'!E42</f>
        <v>0</v>
      </c>
      <c r="H5" s="4476"/>
      <c r="I5" s="1546"/>
      <c r="J5" s="4475">
        <f>'Part III-Sources of Funds'!E43</f>
        <v>0</v>
      </c>
      <c r="K5" s="4476"/>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11772.20869144839</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11772.20869144839</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11772.20869144839</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11772.20869144839</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11772.20869144839</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11772.20869144839</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11772.20869144839</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11772.20869144839</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11772.20869144839</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11772.20869144839</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11772.20869144839</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11772.20869144839</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11772.20869144839</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11772.20869144839</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11772.20869144839</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11772.20869144839</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11772.20869144839</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11772.20869144839</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11772.20869144839</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11772.20869144839</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11772.20869144839</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11772.20869144839</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11772.20869144839</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11772.20869144839</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11772.20869144839</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11772.20869144839</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11772.20869144839</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11772.20869144839</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11772.20869144839</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11772.20869144839</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11772.20869144839</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11772.20869144839</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11772.20869144839</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11772.20869144839</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11772.20869144839</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5" customFormat="1" ht="9" hidden="1" customHeight="1">
      <c r="A1" s="2674"/>
      <c r="B1" s="2674" t="s">
        <v>6619</v>
      </c>
      <c r="C1" s="2674"/>
      <c r="D1" s="2674"/>
      <c r="E1" s="2674"/>
      <c r="F1" s="2674" t="s">
        <v>6620</v>
      </c>
      <c r="G1" s="2674" t="s">
        <v>6621</v>
      </c>
      <c r="H1" s="2674" t="s">
        <v>6622</v>
      </c>
      <c r="I1" s="2674" t="s">
        <v>6623</v>
      </c>
      <c r="J1" s="2674" t="s">
        <v>6624</v>
      </c>
      <c r="K1" s="2674" t="s">
        <v>6625</v>
      </c>
      <c r="L1" s="2674"/>
      <c r="M1" s="2674"/>
      <c r="N1" s="2674" t="s">
        <v>6626</v>
      </c>
      <c r="O1" s="2674" t="s">
        <v>6627</v>
      </c>
      <c r="P1" s="2674" t="s">
        <v>6628</v>
      </c>
      <c r="Z1" s="1773">
        <v>1</v>
      </c>
    </row>
    <row r="2" spans="1:26" s="289" customFormat="1" ht="14.1" customHeight="1">
      <c r="A2" s="3354" t="str">
        <f>CONCATENATE("PART ONE - PROJECT INFORMATION"," - ",$O$7," ",$F$35,", ",'Part I-Project Information'!F39,", ",'Part I-Project Information'!J40," County")</f>
        <v>PART ONE - PROJECT INFORMATION - 2021-041 Hunters Haven, Flemington, Liberty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6282</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366" t="s">
        <v>6833</v>
      </c>
      <c r="C7" s="3366"/>
      <c r="D7" s="3366"/>
      <c r="E7" s="1067"/>
      <c r="F7" s="292"/>
      <c r="G7" s="266" t="s">
        <v>6295</v>
      </c>
      <c r="H7" s="2630"/>
      <c r="I7" s="2630"/>
      <c r="J7" s="2630"/>
      <c r="O7" s="3357" t="s">
        <v>7021</v>
      </c>
      <c r="P7" s="3358"/>
      <c r="Z7" s="1773">
        <v>7</v>
      </c>
    </row>
    <row r="8" spans="1:26" s="289" customFormat="1" ht="12" customHeight="1">
      <c r="B8" s="3366"/>
      <c r="C8" s="3366"/>
      <c r="D8" s="3366"/>
      <c r="E8" s="1067"/>
      <c r="F8" s="490"/>
      <c r="G8" s="170" t="s">
        <v>3079</v>
      </c>
      <c r="H8" s="2630"/>
      <c r="I8" s="2630"/>
      <c r="J8" s="2630"/>
      <c r="Z8" s="1773">
        <v>8</v>
      </c>
    </row>
    <row r="9" spans="1:26" s="289" customFormat="1" ht="6" customHeight="1">
      <c r="A9" s="1711"/>
      <c r="B9" s="3366"/>
      <c r="C9" s="3366"/>
      <c r="D9" s="3366"/>
      <c r="E9" s="2630"/>
      <c r="H9" s="2630"/>
      <c r="I9" s="2630"/>
      <c r="M9" s="2630"/>
      <c r="Z9" s="1773">
        <v>9</v>
      </c>
    </row>
    <row r="10" spans="1:26" s="289" customFormat="1" ht="13.35" customHeight="1">
      <c r="A10" s="291" t="s">
        <v>586</v>
      </c>
      <c r="B10" s="291" t="s">
        <v>2270</v>
      </c>
      <c r="D10" s="267"/>
      <c r="E10" s="293"/>
      <c r="F10" s="2621" t="s">
        <v>3401</v>
      </c>
      <c r="I10" s="3359">
        <f>'Part IV-A-Uses of Funds'!$J$197</f>
        <v>1000000</v>
      </c>
      <c r="J10" s="3360"/>
      <c r="L10" s="289" t="s">
        <v>3402</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4" t="s">
        <v>6852</v>
      </c>
      <c r="G12" s="3345"/>
      <c r="H12" s="3346"/>
      <c r="I12" s="2676" t="s">
        <v>3345</v>
      </c>
      <c r="J12" s="474" t="s">
        <v>6607</v>
      </c>
      <c r="K12" s="299"/>
      <c r="L12" s="2630"/>
      <c r="O12" s="3363" t="s">
        <v>6853</v>
      </c>
      <c r="P12" s="3364"/>
      <c r="Z12" s="1773">
        <v>12</v>
      </c>
    </row>
    <row r="13" spans="1:26" s="289" customFormat="1" ht="12.75" customHeight="1">
      <c r="A13" s="1711"/>
      <c r="B13" s="1326"/>
      <c r="C13" s="1326"/>
      <c r="D13" s="1326"/>
      <c r="E13" s="1326"/>
      <c r="H13" s="2630"/>
      <c r="J13" s="1011" t="s">
        <v>4083</v>
      </c>
      <c r="K13" s="1662"/>
      <c r="M13" s="2630"/>
      <c r="O13" s="3367" t="s">
        <v>2772</v>
      </c>
      <c r="P13" s="3368"/>
      <c r="Z13" s="1773">
        <v>13</v>
      </c>
    </row>
    <row r="14" spans="1:26" s="289" customFormat="1" ht="3" customHeight="1">
      <c r="A14" s="1711"/>
      <c r="B14" s="1326"/>
      <c r="C14" s="1326"/>
      <c r="D14" s="1326"/>
      <c r="E14" s="1326"/>
      <c r="H14" s="2630"/>
      <c r="J14" s="475"/>
      <c r="K14" s="1662"/>
      <c r="M14" s="2630"/>
      <c r="Z14" s="1773">
        <v>14</v>
      </c>
    </row>
    <row r="15" spans="1:26" s="289" customFormat="1" ht="12.75" customHeight="1">
      <c r="A15" s="1711"/>
      <c r="B15" s="1326" t="s">
        <v>4287</v>
      </c>
      <c r="C15" s="1326"/>
      <c r="D15" s="1326"/>
      <c r="E15" s="1326"/>
      <c r="F15" s="2677" t="s">
        <v>2772</v>
      </c>
      <c r="G15" s="2620" t="s">
        <v>4288</v>
      </c>
      <c r="N15" s="3344" t="s">
        <v>4084</v>
      </c>
      <c r="O15" s="3345"/>
      <c r="P15" s="3346"/>
      <c r="Z15" s="1773">
        <v>15</v>
      </c>
    </row>
    <row r="16" spans="1:26" s="289" customFormat="1" ht="12.75" customHeight="1">
      <c r="A16" s="1711"/>
      <c r="B16" s="289" t="s">
        <v>4281</v>
      </c>
      <c r="D16" s="299"/>
      <c r="F16" s="3280"/>
      <c r="G16" s="3342"/>
      <c r="H16" s="3342"/>
      <c r="I16" s="3343"/>
      <c r="J16" s="289" t="s">
        <v>4119</v>
      </c>
      <c r="L16" s="3164"/>
      <c r="M16" s="3166"/>
      <c r="N16" s="289" t="s">
        <v>4118</v>
      </c>
      <c r="P16" s="2678"/>
      <c r="Z16" s="1773">
        <v>16</v>
      </c>
    </row>
    <row r="17" spans="1:26" s="289" customFormat="1" ht="12.75" customHeight="1">
      <c r="A17" s="1711"/>
      <c r="B17" s="289" t="s">
        <v>3400</v>
      </c>
      <c r="F17" s="2677"/>
      <c r="G17" s="289" t="s">
        <v>4076</v>
      </c>
      <c r="H17" s="2630"/>
      <c r="I17" s="170"/>
      <c r="J17" s="475"/>
      <c r="N17" s="3348"/>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7" t="s">
        <v>6876</v>
      </c>
      <c r="G21" s="3138"/>
      <c r="H21" s="3139"/>
      <c r="I21" s="1246" t="s">
        <v>1716</v>
      </c>
      <c r="J21" s="3137" t="s">
        <v>6854</v>
      </c>
      <c r="K21" s="3138"/>
      <c r="L21" s="3139"/>
      <c r="M21" s="321" t="s">
        <v>1890</v>
      </c>
      <c r="N21" s="3164" t="s">
        <v>6858</v>
      </c>
      <c r="O21" s="3165"/>
      <c r="P21" s="3166"/>
      <c r="Z21" s="1773">
        <v>21</v>
      </c>
    </row>
    <row r="22" spans="1:26" s="289" customFormat="1" ht="13.35" customHeight="1">
      <c r="B22" s="2621" t="s">
        <v>1891</v>
      </c>
      <c r="F22" s="3289" t="s">
        <v>6856</v>
      </c>
      <c r="G22" s="3160"/>
      <c r="H22" s="3160"/>
      <c r="I22" s="3158"/>
      <c r="J22" s="3160"/>
      <c r="K22" s="3290"/>
      <c r="L22" s="3189"/>
      <c r="M22" s="3351" t="s">
        <v>3434</v>
      </c>
      <c r="N22" s="3352"/>
      <c r="O22" s="3352"/>
      <c r="P22" s="3352"/>
      <c r="Z22" s="1773">
        <v>22</v>
      </c>
    </row>
    <row r="23" spans="1:26" s="289" customFormat="1" ht="13.35" customHeight="1">
      <c r="B23" s="2621" t="s">
        <v>588</v>
      </c>
      <c r="F23" s="3289" t="s">
        <v>361</v>
      </c>
      <c r="G23" s="3160"/>
      <c r="H23" s="3291"/>
      <c r="I23" s="2621" t="s">
        <v>1717</v>
      </c>
      <c r="J23" s="2679" t="s">
        <v>815</v>
      </c>
      <c r="M23" s="3351"/>
      <c r="N23" s="3351"/>
      <c r="O23" s="3351"/>
      <c r="P23" s="3351"/>
      <c r="Z23" s="1773">
        <v>23</v>
      </c>
    </row>
    <row r="24" spans="1:26" s="289" customFormat="1" ht="13.35" customHeight="1">
      <c r="B24" s="2620" t="s">
        <v>2128</v>
      </c>
      <c r="F24" s="3322">
        <v>300675433</v>
      </c>
      <c r="G24" s="3353"/>
      <c r="H24" s="3323"/>
      <c r="I24" s="2621" t="s">
        <v>1643</v>
      </c>
      <c r="J24" s="3347">
        <v>7707434124</v>
      </c>
      <c r="K24" s="3136"/>
      <c r="L24" s="2624" t="s">
        <v>1642</v>
      </c>
      <c r="M24" s="2680">
        <v>2</v>
      </c>
      <c r="N24" s="2620" t="s">
        <v>1644</v>
      </c>
      <c r="O24" s="3134">
        <v>6785928103</v>
      </c>
      <c r="P24" s="3136"/>
      <c r="Z24" s="1773">
        <v>24</v>
      </c>
    </row>
    <row r="25" spans="1:26" s="289" customFormat="1" ht="13.35" customHeight="1">
      <c r="B25" s="2620" t="s">
        <v>1894</v>
      </c>
      <c r="F25" s="3157" t="s">
        <v>6857</v>
      </c>
      <c r="G25" s="3158"/>
      <c r="H25" s="3158"/>
      <c r="I25" s="3165"/>
      <c r="J25" s="3158"/>
      <c r="K25" s="3159"/>
      <c r="N25" s="2620" t="s">
        <v>1889</v>
      </c>
      <c r="O25" s="3276">
        <v>6785928103</v>
      </c>
      <c r="P25" s="3278"/>
      <c r="Z25" s="1773">
        <v>25</v>
      </c>
    </row>
    <row r="26" spans="1:26" s="289" customFormat="1" ht="13.5" customHeight="1">
      <c r="A26" s="1711"/>
      <c r="B26" s="291" t="s">
        <v>3824</v>
      </c>
      <c r="C26" s="297"/>
      <c r="D26" s="2629"/>
      <c r="E26" s="2629"/>
      <c r="F26" s="2629"/>
      <c r="H26" s="2630"/>
      <c r="I26" s="2629"/>
      <c r="J26" s="297"/>
      <c r="K26" s="2629"/>
      <c r="P26" s="298"/>
      <c r="Z26" s="1773">
        <v>26</v>
      </c>
    </row>
    <row r="27" spans="1:26" s="289" customFormat="1" ht="13.35" customHeight="1">
      <c r="B27" s="289" t="s">
        <v>3435</v>
      </c>
      <c r="F27" s="3137" t="s">
        <v>6877</v>
      </c>
      <c r="G27" s="3138"/>
      <c r="H27" s="3139"/>
      <c r="I27" s="1246" t="s">
        <v>1716</v>
      </c>
      <c r="J27" s="3137" t="s">
        <v>6870</v>
      </c>
      <c r="K27" s="3138"/>
      <c r="L27" s="3139"/>
      <c r="M27" s="321" t="s">
        <v>1890</v>
      </c>
      <c r="N27" s="3164" t="s">
        <v>6858</v>
      </c>
      <c r="O27" s="3165"/>
      <c r="P27" s="3166"/>
      <c r="Z27" s="1773">
        <v>27</v>
      </c>
    </row>
    <row r="28" spans="1:26" s="289" customFormat="1" ht="13.35" customHeight="1">
      <c r="B28" s="2621" t="s">
        <v>1891</v>
      </c>
      <c r="F28" s="3289" t="s">
        <v>6856</v>
      </c>
      <c r="G28" s="3160"/>
      <c r="H28" s="3160"/>
      <c r="I28" s="3158"/>
      <c r="J28" s="3160"/>
      <c r="K28" s="3290"/>
      <c r="L28" s="3189"/>
      <c r="M28" s="3351" t="s">
        <v>3434</v>
      </c>
      <c r="N28" s="3352"/>
      <c r="O28" s="3352"/>
      <c r="P28" s="3352"/>
      <c r="Z28" s="1773">
        <v>28</v>
      </c>
    </row>
    <row r="29" spans="1:26" s="289" customFormat="1" ht="13.35" customHeight="1">
      <c r="B29" s="2621" t="s">
        <v>588</v>
      </c>
      <c r="F29" s="3289" t="s">
        <v>361</v>
      </c>
      <c r="G29" s="3160"/>
      <c r="H29" s="3291"/>
      <c r="I29" s="2621" t="s">
        <v>1717</v>
      </c>
      <c r="J29" s="2679" t="s">
        <v>815</v>
      </c>
      <c r="M29" s="3351"/>
      <c r="N29" s="3351"/>
      <c r="O29" s="3351"/>
      <c r="P29" s="3351"/>
      <c r="Z29" s="1773">
        <v>29</v>
      </c>
    </row>
    <row r="30" spans="1:26" s="289" customFormat="1" ht="13.35" customHeight="1">
      <c r="B30" s="2620" t="s">
        <v>2128</v>
      </c>
      <c r="F30" s="3322">
        <v>300675433</v>
      </c>
      <c r="G30" s="3353"/>
      <c r="H30" s="3323"/>
      <c r="I30" s="2621" t="s">
        <v>1643</v>
      </c>
      <c r="J30" s="3347">
        <v>7707434124</v>
      </c>
      <c r="K30" s="3136"/>
      <c r="L30" s="2624" t="s">
        <v>1642</v>
      </c>
      <c r="M30" s="2680">
        <v>3</v>
      </c>
      <c r="N30" s="2620" t="s">
        <v>1644</v>
      </c>
      <c r="O30" s="3134">
        <v>7708619049</v>
      </c>
      <c r="P30" s="3136"/>
      <c r="Z30" s="1773">
        <v>30</v>
      </c>
    </row>
    <row r="31" spans="1:26" s="289" customFormat="1" ht="13.35" customHeight="1">
      <c r="B31" s="2620" t="s">
        <v>1894</v>
      </c>
      <c r="F31" s="3157" t="s">
        <v>6860</v>
      </c>
      <c r="G31" s="3158"/>
      <c r="H31" s="3158"/>
      <c r="I31" s="3165"/>
      <c r="J31" s="3158"/>
      <c r="K31" s="3159"/>
      <c r="N31" s="2620" t="s">
        <v>1889</v>
      </c>
      <c r="O31" s="3276">
        <v>7708619049</v>
      </c>
      <c r="P31" s="3278"/>
      <c r="Z31" s="1773">
        <v>31</v>
      </c>
    </row>
    <row r="32" spans="1:26" s="289" customFormat="1" ht="6" customHeight="1">
      <c r="A32" s="1711"/>
      <c r="B32" s="1711"/>
      <c r="C32" s="297"/>
      <c r="D32" s="2629"/>
      <c r="E32" s="2629"/>
      <c r="F32" s="2629"/>
      <c r="H32" s="2630"/>
      <c r="I32" s="2629"/>
      <c r="J32" s="297"/>
      <c r="K32" s="2629"/>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6" t="s">
        <v>6861</v>
      </c>
      <c r="G35" s="3327"/>
      <c r="H35" s="3327"/>
      <c r="I35" s="3327"/>
      <c r="J35" s="3327"/>
      <c r="K35" s="3328"/>
      <c r="L35" s="2620" t="s">
        <v>2097</v>
      </c>
      <c r="O35" s="3137" t="s">
        <v>2772</v>
      </c>
      <c r="P35" s="3139"/>
      <c r="Z35" s="1773">
        <v>35</v>
      </c>
    </row>
    <row r="36" spans="1:26" s="289" customFormat="1" ht="13.35" customHeight="1">
      <c r="A36" s="300"/>
      <c r="B36" s="289" t="s">
        <v>2548</v>
      </c>
      <c r="D36" s="301"/>
      <c r="F36" s="3154"/>
      <c r="G36" s="3155"/>
      <c r="H36" s="3155"/>
      <c r="I36" s="3155"/>
      <c r="J36" s="3155"/>
      <c r="K36" s="3156"/>
      <c r="L36" s="289" t="s">
        <v>3320</v>
      </c>
      <c r="O36" s="3188"/>
      <c r="P36" s="3291"/>
      <c r="Z36" s="1773">
        <v>36</v>
      </c>
    </row>
    <row r="37" spans="1:26" s="289" customFormat="1" ht="13.35" customHeight="1">
      <c r="A37" s="300"/>
      <c r="B37" s="289" t="s">
        <v>2572</v>
      </c>
      <c r="D37" s="301"/>
      <c r="F37" s="3188" t="s">
        <v>6862</v>
      </c>
      <c r="G37" s="3160"/>
      <c r="H37" s="3160"/>
      <c r="I37" s="3290"/>
      <c r="J37" s="3160"/>
      <c r="K37" s="3291"/>
      <c r="L37" s="2620" t="s">
        <v>1958</v>
      </c>
      <c r="N37" s="2680" t="s">
        <v>2772</v>
      </c>
      <c r="O37" s="2630" t="s">
        <v>3319</v>
      </c>
      <c r="P37" s="2681"/>
      <c r="Z37" s="1773">
        <v>37</v>
      </c>
    </row>
    <row r="38" spans="1:26" s="289" customFormat="1" ht="13.35" customHeight="1">
      <c r="A38" s="300"/>
      <c r="B38" s="289" t="s">
        <v>3361</v>
      </c>
      <c r="D38" s="301"/>
      <c r="F38" s="289" t="s">
        <v>3346</v>
      </c>
      <c r="G38" s="3320">
        <v>31.852126999999999</v>
      </c>
      <c r="H38" s="3321"/>
      <c r="I38" s="2624" t="s">
        <v>3347</v>
      </c>
      <c r="J38" s="3320">
        <v>-81.575609</v>
      </c>
      <c r="K38" s="3321"/>
      <c r="L38" s="2620" t="s">
        <v>2180</v>
      </c>
      <c r="O38" s="3329">
        <v>10</v>
      </c>
      <c r="P38" s="3330"/>
      <c r="Z38" s="1773">
        <v>38</v>
      </c>
    </row>
    <row r="39" spans="1:26" s="289" customFormat="1" ht="13.35" customHeight="1">
      <c r="A39" s="1711"/>
      <c r="B39" s="289" t="s">
        <v>588</v>
      </c>
      <c r="F39" s="3137" t="s">
        <v>954</v>
      </c>
      <c r="G39" s="3340"/>
      <c r="H39" s="3341"/>
      <c r="I39" s="305" t="s">
        <v>2549</v>
      </c>
      <c r="J39" s="3322">
        <v>313133427</v>
      </c>
      <c r="K39" s="3323"/>
      <c r="L39" s="356" t="str">
        <f>IF(AND(NOT(F35=""),NOT(F39="Select from list"),J39=""),"Enter Zip!","")</f>
        <v/>
      </c>
      <c r="M39" s="303" t="s">
        <v>2693</v>
      </c>
      <c r="O39" s="3324" t="s">
        <v>6863</v>
      </c>
      <c r="P39" s="3325"/>
      <c r="Z39" s="1773">
        <v>39</v>
      </c>
    </row>
    <row r="40" spans="1:26" s="289" customFormat="1" ht="13.35" customHeight="1">
      <c r="A40" s="1711"/>
      <c r="B40" s="2629" t="s">
        <v>4098</v>
      </c>
      <c r="D40" s="2629"/>
      <c r="F40" s="3188" t="s">
        <v>6980</v>
      </c>
      <c r="G40" s="3290"/>
      <c r="H40" s="3189"/>
      <c r="I40" s="302" t="s">
        <v>589</v>
      </c>
      <c r="J40" s="3334" t="str">
        <f>IF(F39="","",VLOOKUP(F39,'DCA Underwriting Assumptions'!$T$174:$U$803,2,FALSE))</f>
        <v>Liberty</v>
      </c>
      <c r="K40" s="3335"/>
      <c r="M40" s="2620" t="s">
        <v>431</v>
      </c>
      <c r="N40" s="2682" t="s">
        <v>2772</v>
      </c>
      <c r="O40" s="2630" t="s">
        <v>432</v>
      </c>
      <c r="P40" s="2678" t="s">
        <v>2772</v>
      </c>
      <c r="Z40" s="1773">
        <v>40</v>
      </c>
    </row>
    <row r="41" spans="1:26" s="289" customFormat="1" ht="13.35" customHeight="1">
      <c r="A41" s="1711"/>
      <c r="B41" s="291"/>
      <c r="C41" s="289" t="s">
        <v>1494</v>
      </c>
      <c r="F41" s="2683" t="s">
        <v>2772</v>
      </c>
      <c r="G41" s="2635"/>
      <c r="H41" s="2636"/>
      <c r="I41" s="1617"/>
      <c r="J41" s="2624" t="s">
        <v>2610</v>
      </c>
      <c r="K41" s="1362" t="str">
        <f>IF(OR(F41="Yes",I41="Yes"),"Rural","Urban")</f>
        <v>Urban</v>
      </c>
      <c r="M41" s="2620" t="s">
        <v>2487</v>
      </c>
      <c r="N41" s="1363" t="str">
        <f>VLOOKUP($J$40,'DCA Underwriting Assumptions'!$G$174:$J$333,4)</f>
        <v>MSA</v>
      </c>
      <c r="O41" s="3336" t="str">
        <f>IF($F$39="","",VLOOKUP($J$40,'DCA Underwriting Assumptions'!$G$174:$L$333,3,FALSE))</f>
        <v>Hinesville-Fort Stewart</v>
      </c>
      <c r="P41" s="3337"/>
      <c r="Z41" s="1773">
        <v>41</v>
      </c>
    </row>
    <row r="42" spans="1:26" s="289" customFormat="1" ht="6" customHeight="1">
      <c r="A42" s="1711"/>
      <c r="B42" s="291"/>
      <c r="C42" s="291"/>
      <c r="I42" s="2621"/>
      <c r="J42" s="2629"/>
      <c r="L42" s="2645"/>
      <c r="M42" s="2645"/>
      <c r="N42" s="2645"/>
      <c r="O42" s="2645"/>
      <c r="P42" s="2645"/>
      <c r="Z42" s="1773">
        <v>42</v>
      </c>
    </row>
    <row r="43" spans="1:26" s="289" customFormat="1" ht="13.35" customHeight="1">
      <c r="A43" s="1711"/>
      <c r="C43" s="289" t="s">
        <v>2578</v>
      </c>
      <c r="F43" s="3338" t="s">
        <v>2592</v>
      </c>
      <c r="G43" s="3338"/>
      <c r="H43" s="3339" t="s">
        <v>706</v>
      </c>
      <c r="I43" s="3339"/>
      <c r="J43" s="3339" t="s">
        <v>707</v>
      </c>
      <c r="K43" s="3339"/>
      <c r="L43" s="468" t="s">
        <v>4016</v>
      </c>
      <c r="Z43" s="1773">
        <v>43</v>
      </c>
    </row>
    <row r="44" spans="1:26" s="289" customFormat="1" ht="13.35" customHeight="1">
      <c r="A44" s="1711"/>
      <c r="B44" s="289" t="s">
        <v>2591</v>
      </c>
      <c r="D44" s="291"/>
      <c r="F44" s="3331">
        <v>1</v>
      </c>
      <c r="G44" s="3332"/>
      <c r="H44" s="3331">
        <v>1</v>
      </c>
      <c r="I44" s="3332"/>
      <c r="J44" s="3331">
        <v>168</v>
      </c>
      <c r="K44" s="3332"/>
      <c r="L44" s="464" t="s">
        <v>1235</v>
      </c>
      <c r="N44" s="3333" t="s">
        <v>1236</v>
      </c>
      <c r="O44" s="3333"/>
      <c r="P44" s="3333"/>
      <c r="Z44" s="1773">
        <v>44</v>
      </c>
    </row>
    <row r="45" spans="1:26" s="289" customFormat="1" ht="12.75" customHeight="1">
      <c r="A45" s="1711"/>
      <c r="B45" s="2621" t="s">
        <v>708</v>
      </c>
      <c r="F45" s="3285"/>
      <c r="G45" s="3286"/>
      <c r="H45" s="3285"/>
      <c r="I45" s="3286"/>
      <c r="J45" s="3285"/>
      <c r="K45" s="3286"/>
      <c r="L45" s="464" t="s">
        <v>2590</v>
      </c>
      <c r="N45" s="3287" t="s">
        <v>2589</v>
      </c>
      <c r="O45" s="3287"/>
      <c r="Z45" s="1773">
        <v>45</v>
      </c>
    </row>
    <row r="46" spans="1:26" s="289" customFormat="1" ht="3" customHeight="1">
      <c r="A46" s="1711"/>
      <c r="I46" s="2645"/>
      <c r="J46" s="2645"/>
      <c r="K46" s="2645"/>
      <c r="L46" s="2629"/>
      <c r="M46" s="2629"/>
      <c r="N46" s="2629"/>
      <c r="O46" s="2629"/>
      <c r="P46" s="2629"/>
      <c r="Z46" s="1773">
        <v>46</v>
      </c>
    </row>
    <row r="47" spans="1:26" s="289" customFormat="1" ht="13.35" customHeight="1">
      <c r="A47" s="1711"/>
      <c r="B47" s="291" t="s">
        <v>607</v>
      </c>
      <c r="F47" s="3294" t="s">
        <v>6864</v>
      </c>
      <c r="G47" s="3295"/>
      <c r="H47" s="3295"/>
      <c r="I47" s="3296"/>
      <c r="J47" s="3295"/>
      <c r="K47" s="3297"/>
      <c r="L47" s="771" t="s">
        <v>2553</v>
      </c>
      <c r="M47" s="3164" t="s">
        <v>6865</v>
      </c>
      <c r="N47" s="3165"/>
      <c r="O47" s="3165"/>
      <c r="P47" s="3166"/>
      <c r="Z47" s="1773">
        <v>47</v>
      </c>
    </row>
    <row r="48" spans="1:26" s="289" customFormat="1" ht="13.35" customHeight="1">
      <c r="A48" s="1711"/>
      <c r="B48" s="289" t="s">
        <v>608</v>
      </c>
      <c r="F48" s="3298" t="s">
        <v>6866</v>
      </c>
      <c r="G48" s="3299"/>
      <c r="H48" s="3300"/>
      <c r="I48" s="916" t="s">
        <v>1890</v>
      </c>
      <c r="J48" s="3154" t="s">
        <v>6867</v>
      </c>
      <c r="K48" s="3156"/>
      <c r="L48" s="771"/>
      <c r="Z48" s="1773">
        <v>48</v>
      </c>
    </row>
    <row r="49" spans="1:26" s="289" customFormat="1" ht="13.35" customHeight="1">
      <c r="A49" s="1711"/>
      <c r="B49" s="289" t="s">
        <v>1891</v>
      </c>
      <c r="F49" s="3301" t="s">
        <v>6868</v>
      </c>
      <c r="G49" s="3302"/>
      <c r="H49" s="3303"/>
      <c r="I49" s="3295"/>
      <c r="J49" s="3302"/>
      <c r="K49" s="3304"/>
      <c r="L49" s="2622" t="s">
        <v>588</v>
      </c>
      <c r="M49" s="3305" t="s">
        <v>1855</v>
      </c>
      <c r="N49" s="3306"/>
      <c r="O49" s="3306"/>
      <c r="P49" s="3307"/>
      <c r="Z49" s="1773">
        <v>49</v>
      </c>
    </row>
    <row r="50" spans="1:26" s="289" customFormat="1" ht="13.35" customHeight="1">
      <c r="A50" s="1711"/>
      <c r="B50" s="2620" t="s">
        <v>2128</v>
      </c>
      <c r="F50" s="3309">
        <v>313131121</v>
      </c>
      <c r="G50" s="3310"/>
      <c r="H50" s="2624" t="s">
        <v>1892</v>
      </c>
      <c r="I50" s="3311">
        <v>9128773223</v>
      </c>
      <c r="J50" s="3312"/>
      <c r="K50" s="3313"/>
      <c r="L50" s="2621" t="s">
        <v>1718</v>
      </c>
      <c r="M50" s="3314" t="s">
        <v>6874</v>
      </c>
      <c r="N50" s="3315"/>
      <c r="O50" s="3315"/>
      <c r="P50" s="3316"/>
      <c r="Z50" s="1773">
        <v>50</v>
      </c>
    </row>
    <row r="51" spans="1:26" s="289" customFormat="1" ht="6" customHeight="1">
      <c r="A51" s="1711"/>
      <c r="B51" s="1711"/>
      <c r="C51" s="304"/>
      <c r="D51" s="305"/>
      <c r="E51" s="305"/>
      <c r="F51" s="2630"/>
      <c r="G51" s="2630"/>
      <c r="H51" s="2630"/>
      <c r="I51" s="2630"/>
      <c r="J51" s="305"/>
      <c r="K51" s="2630"/>
      <c r="L51" s="2630"/>
      <c r="N51" s="2629"/>
      <c r="O51" s="2629"/>
      <c r="P51" s="298"/>
      <c r="Z51" s="1773">
        <v>51</v>
      </c>
    </row>
    <row r="52" spans="1:26" s="289" customFormat="1" ht="12" customHeight="1">
      <c r="A52" s="294" t="s">
        <v>1713</v>
      </c>
      <c r="B52" s="291" t="s">
        <v>1416</v>
      </c>
      <c r="F52" s="306"/>
      <c r="I52" s="2620"/>
      <c r="J52" s="2629"/>
      <c r="K52" s="2629"/>
      <c r="L52" s="2629"/>
      <c r="M52" s="2629"/>
      <c r="Z52" s="1773">
        <v>52</v>
      </c>
    </row>
    <row r="53" spans="1:26" s="289" customFormat="1" ht="1.5" customHeight="1">
      <c r="A53" s="1711"/>
      <c r="B53" s="291"/>
      <c r="C53" s="291"/>
      <c r="I53" s="2620"/>
      <c r="J53" s="2629"/>
      <c r="K53" s="2629"/>
      <c r="L53" s="2629"/>
      <c r="M53" s="2629"/>
      <c r="N53" s="2629"/>
      <c r="O53" s="2629"/>
      <c r="P53" s="2629"/>
      <c r="Q53" s="2629"/>
      <c r="Z53" s="1773">
        <v>53</v>
      </c>
    </row>
    <row r="54" spans="1:26" s="289" customFormat="1">
      <c r="A54" s="1711"/>
      <c r="B54" s="1711" t="s">
        <v>1893</v>
      </c>
      <c r="C54" s="291" t="s">
        <v>688</v>
      </c>
      <c r="I54" s="2629"/>
      <c r="J54" s="2629"/>
      <c r="K54" s="465"/>
      <c r="L54" s="2629"/>
      <c r="M54" s="467"/>
      <c r="N54" s="467"/>
      <c r="O54" s="467"/>
      <c r="P54" s="467"/>
      <c r="Q54" s="2630"/>
      <c r="Z54" s="1773">
        <v>54</v>
      </c>
    </row>
    <row r="55" spans="1:26" ht="13.35" customHeight="1">
      <c r="B55" s="1711"/>
      <c r="C55" s="289" t="s">
        <v>2192</v>
      </c>
      <c r="D55" s="289"/>
      <c r="E55" s="289"/>
      <c r="H55" s="930">
        <f>'Part VI-Revenues &amp; Expenses'!$P$115</f>
        <v>72</v>
      </c>
      <c r="K55" s="2621" t="s">
        <v>3312</v>
      </c>
      <c r="L55" s="289"/>
      <c r="M55" s="804" t="s">
        <v>3311</v>
      </c>
      <c r="N55" s="308">
        <f>'Part VI-Revenues &amp; Expenses'!$P$122</f>
        <v>0</v>
      </c>
      <c r="O55" s="805" t="s">
        <v>3117</v>
      </c>
      <c r="P55" s="308">
        <f>'Part VI-Revenues &amp; Expenses'!$P$123</f>
        <v>0</v>
      </c>
      <c r="Q55" s="2630"/>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9"/>
      <c r="H57" s="932">
        <f>'Part VI-Revenues &amp; Expenses'!$P$118</f>
        <v>0</v>
      </c>
      <c r="I57" s="454" t="s">
        <v>2697</v>
      </c>
      <c r="K57" s="289" t="s">
        <v>337</v>
      </c>
      <c r="P57" s="2684"/>
      <c r="Q57" s="2630"/>
      <c r="Z57" s="1773">
        <v>57</v>
      </c>
    </row>
    <row r="58" spans="1:26" s="289" customFormat="1" ht="3.6" customHeight="1">
      <c r="A58" s="1711"/>
      <c r="P58" s="2629"/>
      <c r="Z58" s="1773">
        <v>58</v>
      </c>
    </row>
    <row r="59" spans="1:26" s="289" customFormat="1">
      <c r="A59" s="1711"/>
      <c r="B59" s="1711" t="s">
        <v>1895</v>
      </c>
      <c r="C59" s="291" t="s">
        <v>2193</v>
      </c>
      <c r="H59" s="2685" t="s">
        <v>2769</v>
      </c>
      <c r="K59" s="2629"/>
      <c r="L59" s="2629"/>
      <c r="M59" s="2629"/>
      <c r="N59" s="2629"/>
      <c r="O59" s="467"/>
      <c r="P59" s="465"/>
      <c r="Q59" s="2629"/>
      <c r="Z59" s="1773">
        <v>59</v>
      </c>
    </row>
    <row r="60" spans="1:26" s="289" customFormat="1" ht="3" customHeight="1">
      <c r="A60" s="1711"/>
      <c r="I60" s="2629"/>
      <c r="J60" s="465"/>
      <c r="K60" s="466"/>
      <c r="L60" s="465"/>
      <c r="M60" s="466"/>
      <c r="N60" s="466"/>
      <c r="O60" s="466"/>
      <c r="P60" s="466"/>
      <c r="Q60" s="2629"/>
      <c r="Z60" s="1773">
        <v>60</v>
      </c>
    </row>
    <row r="61" spans="1:26" s="289" customFormat="1" ht="13.35" customHeight="1">
      <c r="A61" s="1711"/>
      <c r="B61" s="300" t="s">
        <v>719</v>
      </c>
      <c r="C61" s="299" t="s">
        <v>2173</v>
      </c>
      <c r="D61" s="2629"/>
      <c r="I61" s="2633" t="s">
        <v>3256</v>
      </c>
      <c r="J61" s="300" t="s">
        <v>2021</v>
      </c>
      <c r="K61" s="310" t="s">
        <v>2198</v>
      </c>
      <c r="M61" s="2629"/>
      <c r="N61" s="2629"/>
      <c r="O61" s="2629"/>
      <c r="P61" s="2630"/>
      <c r="Q61" s="2630"/>
      <c r="R61" s="2630"/>
      <c r="S61" s="2629"/>
      <c r="Z61" s="1773">
        <v>61</v>
      </c>
    </row>
    <row r="62" spans="1:26" s="289" customFormat="1" ht="13.35" customHeight="1">
      <c r="A62" s="1711"/>
      <c r="B62" s="2619"/>
      <c r="C62" s="297" t="s">
        <v>2174</v>
      </c>
      <c r="D62" s="2629"/>
      <c r="E62" s="2629"/>
      <c r="H62" s="750">
        <f>'Part VI-Revenues &amp; Expenses'!$P$63</f>
        <v>64</v>
      </c>
      <c r="I62" s="575">
        <f>'Part VI-Revenues &amp; Expenses'!$P$100</f>
        <v>0</v>
      </c>
      <c r="J62" s="1711"/>
      <c r="K62" s="297" t="s">
        <v>2600</v>
      </c>
      <c r="M62" s="2629"/>
      <c r="N62" s="2629"/>
      <c r="O62" s="2629"/>
      <c r="P62" s="750">
        <f>'Part VI-Revenues &amp; Expenses'!P164</f>
        <v>58316</v>
      </c>
      <c r="Z62" s="1773">
        <v>62</v>
      </c>
    </row>
    <row r="63" spans="1:26" s="289" customFormat="1" ht="13.35" customHeight="1">
      <c r="A63" s="1711"/>
      <c r="C63" s="297" t="s">
        <v>242</v>
      </c>
      <c r="D63" s="2629"/>
      <c r="E63" s="2629"/>
      <c r="H63" s="1747">
        <f>'Part VI-Revenues &amp; Expenses'!$P$64</f>
        <v>8</v>
      </c>
      <c r="J63" s="1711"/>
      <c r="K63" s="297" t="s">
        <v>2601</v>
      </c>
      <c r="M63" s="2629"/>
      <c r="N63" s="2629"/>
      <c r="O63" s="2629"/>
      <c r="P63" s="1747">
        <f>'Part VI-Revenues &amp; Expenses'!$P$165</f>
        <v>7268</v>
      </c>
      <c r="Z63" s="1773">
        <v>63</v>
      </c>
    </row>
    <row r="64" spans="1:26" s="289" customFormat="1" ht="13.35" customHeight="1">
      <c r="A64" s="1711"/>
      <c r="C64" s="297" t="s">
        <v>2297</v>
      </c>
      <c r="D64" s="2629"/>
      <c r="E64" s="2629"/>
      <c r="H64" s="1747">
        <f>H62+H63</f>
        <v>72</v>
      </c>
      <c r="J64" s="1711"/>
      <c r="K64" s="297" t="s">
        <v>2602</v>
      </c>
      <c r="M64" s="2629"/>
      <c r="N64" s="2629"/>
      <c r="O64" s="2629"/>
      <c r="P64" s="1747">
        <f>P62+P63</f>
        <v>65584</v>
      </c>
      <c r="Z64" s="1773">
        <v>64</v>
      </c>
    </row>
    <row r="65" spans="1:26" s="289" customFormat="1" ht="13.35" customHeight="1">
      <c r="A65" s="1711"/>
      <c r="C65" s="297" t="s">
        <v>2298</v>
      </c>
      <c r="D65" s="2629"/>
      <c r="E65" s="2629"/>
      <c r="H65" s="751">
        <f>'Part VI-Revenues &amp; Expenses'!$P$66</f>
        <v>0</v>
      </c>
      <c r="J65" s="1711"/>
      <c r="K65" s="297" t="s">
        <v>2603</v>
      </c>
      <c r="M65" s="2629"/>
      <c r="N65" s="2629"/>
      <c r="O65" s="2629"/>
      <c r="P65" s="751">
        <f>'Part VI-Revenues &amp; Expenses'!$P$167</f>
        <v>0</v>
      </c>
      <c r="Z65" s="1773">
        <v>65</v>
      </c>
    </row>
    <row r="66" spans="1:26" s="289" customFormat="1" ht="13.35" customHeight="1">
      <c r="A66" s="1711"/>
      <c r="C66" s="297" t="s">
        <v>1712</v>
      </c>
      <c r="D66" s="2629"/>
      <c r="E66" s="2629"/>
      <c r="H66" s="311">
        <f>+H64+H65</f>
        <v>72</v>
      </c>
      <c r="J66" s="2629"/>
      <c r="K66" s="297" t="s">
        <v>1369</v>
      </c>
      <c r="M66" s="2629"/>
      <c r="N66" s="2629"/>
      <c r="O66" s="2629"/>
      <c r="P66" s="311">
        <f>+P64+P65</f>
        <v>65584</v>
      </c>
      <c r="Z66" s="1773">
        <v>66</v>
      </c>
    </row>
    <row r="67" spans="1:26" s="289" customFormat="1" ht="3" customHeight="1">
      <c r="A67" s="1711"/>
      <c r="I67" s="2630"/>
      <c r="L67" s="2630"/>
      <c r="M67" s="2630"/>
      <c r="N67" s="2629"/>
      <c r="P67" s="298"/>
      <c r="Z67" s="1773">
        <v>67</v>
      </c>
    </row>
    <row r="68" spans="1:26" s="289" customFormat="1" ht="11.25" customHeight="1">
      <c r="A68" s="1711"/>
      <c r="H68" s="2624" t="s">
        <v>3441</v>
      </c>
      <c r="I68" s="2624" t="s">
        <v>2543</v>
      </c>
      <c r="L68" s="2630"/>
      <c r="M68" s="2630"/>
      <c r="N68" s="2629"/>
      <c r="P68" s="298"/>
      <c r="Z68" s="1773">
        <v>68</v>
      </c>
    </row>
    <row r="69" spans="1:26" s="289" customFormat="1" ht="13.35" customHeight="1">
      <c r="A69" s="1711"/>
      <c r="B69" s="1711" t="s">
        <v>1656</v>
      </c>
      <c r="C69" s="299" t="s">
        <v>2194</v>
      </c>
      <c r="D69" s="312" t="s">
        <v>1906</v>
      </c>
      <c r="G69" s="2629"/>
      <c r="H69" s="2686">
        <v>1</v>
      </c>
      <c r="I69" s="2686">
        <v>0</v>
      </c>
      <c r="K69" s="297" t="s">
        <v>4071</v>
      </c>
      <c r="O69" s="2629"/>
      <c r="P69" s="2687">
        <v>4000</v>
      </c>
      <c r="Z69" s="1773">
        <v>69</v>
      </c>
    </row>
    <row r="70" spans="1:26" s="289" customFormat="1" ht="13.35" customHeight="1">
      <c r="A70" s="1711"/>
      <c r="B70" s="1711"/>
      <c r="D70" s="2619" t="s">
        <v>1907</v>
      </c>
      <c r="H70" s="2688">
        <v>0</v>
      </c>
      <c r="I70" s="2688">
        <v>0</v>
      </c>
      <c r="K70" s="297" t="s">
        <v>241</v>
      </c>
      <c r="O70" s="2629"/>
      <c r="P70" s="311">
        <f>+P66+P69</f>
        <v>69584</v>
      </c>
      <c r="Z70" s="1773">
        <v>70</v>
      </c>
    </row>
    <row r="71" spans="1:26" s="289" customFormat="1" ht="13.35" customHeight="1">
      <c r="A71" s="1711"/>
      <c r="B71" s="1711"/>
      <c r="D71" s="2619" t="s">
        <v>1908</v>
      </c>
      <c r="H71" s="311">
        <f>+H69+H70</f>
        <v>1</v>
      </c>
      <c r="I71" s="311">
        <f>+I69+I70</f>
        <v>0</v>
      </c>
      <c r="Z71" s="1773">
        <v>71</v>
      </c>
    </row>
    <row r="72" spans="1:26" s="289" customFormat="1" ht="3" customHeight="1">
      <c r="A72" s="1711"/>
      <c r="B72" s="1711"/>
      <c r="C72" s="2629"/>
      <c r="D72" s="2629"/>
      <c r="E72" s="2629"/>
      <c r="F72" s="2629"/>
      <c r="G72" s="2630"/>
      <c r="I72" s="297"/>
      <c r="J72" s="2629"/>
      <c r="P72" s="298"/>
      <c r="Z72" s="1773">
        <v>72</v>
      </c>
    </row>
    <row r="73" spans="1:26" s="289" customFormat="1" ht="13.35" customHeight="1">
      <c r="A73" s="1711"/>
      <c r="B73" s="1711" t="s">
        <v>1657</v>
      </c>
      <c r="C73" s="299" t="s">
        <v>2636</v>
      </c>
      <c r="D73" s="2629"/>
      <c r="E73" s="2629"/>
      <c r="F73" s="2629"/>
      <c r="G73" s="2629"/>
      <c r="H73" s="2687">
        <v>121</v>
      </c>
      <c r="K73" s="3308" t="s">
        <v>6777</v>
      </c>
      <c r="L73" s="3308"/>
      <c r="M73" s="3308"/>
      <c r="N73" s="3308"/>
      <c r="O73" s="3308"/>
      <c r="P73" s="3308"/>
      <c r="Z73" s="1773">
        <v>73</v>
      </c>
    </row>
    <row r="74" spans="1:26" s="289" customFormat="1" ht="6" customHeight="1">
      <c r="A74" s="1711"/>
      <c r="B74" s="1711"/>
      <c r="C74" s="297"/>
      <c r="D74" s="2629"/>
      <c r="E74" s="2629"/>
      <c r="F74" s="2629"/>
      <c r="G74" s="2630"/>
      <c r="H74" s="2629"/>
      <c r="I74" s="297"/>
      <c r="J74" s="297"/>
      <c r="K74" s="3308"/>
      <c r="L74" s="3308"/>
      <c r="M74" s="3308"/>
      <c r="N74" s="3308"/>
      <c r="O74" s="3308"/>
      <c r="P74" s="3308"/>
      <c r="Z74" s="1773">
        <v>74</v>
      </c>
    </row>
    <row r="75" spans="1:26" s="289" customFormat="1" ht="13.35" customHeight="1">
      <c r="A75" s="1711" t="s">
        <v>505</v>
      </c>
      <c r="B75" s="313" t="s">
        <v>1146</v>
      </c>
      <c r="D75" s="313"/>
      <c r="E75" s="313"/>
      <c r="F75" s="2629"/>
      <c r="G75" s="2630"/>
      <c r="H75" s="477"/>
      <c r="K75" s="3308"/>
      <c r="L75" s="3308"/>
      <c r="M75" s="3308"/>
      <c r="N75" s="3308"/>
      <c r="O75" s="3308"/>
      <c r="P75" s="3308"/>
      <c r="Z75" s="1773">
        <v>75</v>
      </c>
    </row>
    <row r="76" spans="1:26" s="289" customFormat="1" ht="3" customHeight="1">
      <c r="A76" s="1711"/>
      <c r="C76" s="1298"/>
      <c r="D76" s="1298"/>
      <c r="E76" s="1298"/>
      <c r="F76" s="2629"/>
      <c r="G76" s="2630"/>
      <c r="K76" s="2629"/>
      <c r="P76" s="298"/>
      <c r="Z76" s="1773">
        <v>76</v>
      </c>
    </row>
    <row r="77" spans="1:26" s="289" customFormat="1" ht="13.35" customHeight="1">
      <c r="A77" s="1711"/>
      <c r="B77" s="1711" t="s">
        <v>1893</v>
      </c>
      <c r="C77" s="1662" t="s">
        <v>6602</v>
      </c>
      <c r="D77" s="1298"/>
      <c r="E77" s="1739" t="s">
        <v>6603</v>
      </c>
      <c r="F77" s="2629"/>
      <c r="G77" s="2630"/>
      <c r="H77" s="3264" t="s">
        <v>2698</v>
      </c>
      <c r="I77" s="3266"/>
      <c r="J77" s="3265"/>
      <c r="K77" s="3163" t="s">
        <v>1692</v>
      </c>
      <c r="L77" s="3163"/>
      <c r="M77" s="3164"/>
      <c r="N77" s="3165"/>
      <c r="O77" s="3165"/>
      <c r="P77" s="3166"/>
      <c r="Z77" s="1773">
        <v>77</v>
      </c>
    </row>
    <row r="78" spans="1:26" s="289" customFormat="1" ht="3" customHeight="1">
      <c r="A78" s="1711"/>
      <c r="B78" s="1711"/>
      <c r="D78" s="2619"/>
      <c r="E78" s="2619"/>
      <c r="F78" s="2619"/>
      <c r="G78" s="2619"/>
      <c r="I78" s="2630"/>
      <c r="K78" s="2620"/>
      <c r="L78" s="2620"/>
      <c r="M78" s="2630"/>
      <c r="N78" s="2629"/>
      <c r="P78" s="298"/>
      <c r="Z78" s="1773">
        <v>78</v>
      </c>
    </row>
    <row r="79" spans="1:26" s="289" customFormat="1">
      <c r="A79" s="1711"/>
      <c r="B79" s="1711"/>
      <c r="E79" s="170" t="s">
        <v>6604</v>
      </c>
      <c r="K79" s="3167" t="s">
        <v>4025</v>
      </c>
      <c r="L79" s="314" t="s">
        <v>2698</v>
      </c>
      <c r="M79" s="2689"/>
      <c r="N79" s="314" t="s">
        <v>2699</v>
      </c>
      <c r="O79" s="2689"/>
      <c r="P79" s="2621" t="s">
        <v>4024</v>
      </c>
      <c r="Z79" s="1773">
        <v>79</v>
      </c>
    </row>
    <row r="80" spans="1:26" s="289" customFormat="1">
      <c r="A80" s="1711"/>
      <c r="B80" s="1711"/>
      <c r="D80" s="2620"/>
      <c r="E80" s="1298"/>
      <c r="J80" s="1296"/>
      <c r="K80" s="3167"/>
      <c r="L80" s="301" t="s">
        <v>2700</v>
      </c>
      <c r="M80" s="2688"/>
      <c r="N80" s="301" t="s">
        <v>3431</v>
      </c>
      <c r="O80" s="2688"/>
      <c r="P80" s="2690"/>
      <c r="Z80" s="1773">
        <v>80</v>
      </c>
    </row>
    <row r="81" spans="1:26" s="289" customFormat="1" ht="9" customHeight="1">
      <c r="A81" s="1711"/>
      <c r="B81" s="1711"/>
      <c r="D81" s="2619"/>
      <c r="E81" s="2619"/>
      <c r="F81" s="2619"/>
      <c r="G81" s="2619"/>
      <c r="I81" s="2630"/>
      <c r="K81" s="2620"/>
      <c r="L81" s="2620"/>
      <c r="M81" s="2630"/>
      <c r="N81" s="2629"/>
      <c r="P81" s="298"/>
      <c r="Z81" s="1773">
        <v>81</v>
      </c>
    </row>
    <row r="82" spans="1:26" s="289" customFormat="1" ht="13.35" customHeight="1">
      <c r="A82" s="1711"/>
      <c r="B82" s="1711"/>
      <c r="C82" s="1662" t="s">
        <v>6605</v>
      </c>
      <c r="D82" s="1298"/>
      <c r="E82" s="1739" t="s">
        <v>6606</v>
      </c>
      <c r="F82" s="2629"/>
      <c r="G82" s="2630"/>
      <c r="H82" s="3317" t="s">
        <v>6778</v>
      </c>
      <c r="I82" s="3318"/>
      <c r="J82" s="3319"/>
      <c r="K82" s="3163" t="s">
        <v>1692</v>
      </c>
      <c r="L82" s="3163"/>
      <c r="M82" s="3164"/>
      <c r="N82" s="3165"/>
      <c r="O82" s="3165"/>
      <c r="P82" s="3166"/>
      <c r="Z82" s="1773">
        <v>82</v>
      </c>
    </row>
    <row r="83" spans="1:26" s="289" customFormat="1" ht="3" customHeight="1">
      <c r="A83" s="1711"/>
      <c r="B83" s="1711"/>
      <c r="D83" s="2619"/>
      <c r="E83" s="2619"/>
      <c r="F83" s="2619"/>
      <c r="G83" s="2619"/>
      <c r="I83" s="2630"/>
      <c r="K83" s="2620"/>
      <c r="L83" s="2620"/>
      <c r="M83" s="2630"/>
      <c r="N83" s="2629"/>
      <c r="P83" s="298"/>
      <c r="Z83" s="1773">
        <v>83</v>
      </c>
    </row>
    <row r="84" spans="1:26" s="289" customFormat="1">
      <c r="A84" s="1711"/>
      <c r="B84" s="1711"/>
      <c r="E84" s="1298"/>
      <c r="K84" s="3167" t="s">
        <v>4025</v>
      </c>
      <c r="L84" s="314" t="s">
        <v>2698</v>
      </c>
      <c r="M84" s="2689"/>
      <c r="N84" s="314" t="s">
        <v>2699</v>
      </c>
      <c r="O84" s="2689"/>
      <c r="P84" s="2621" t="s">
        <v>4024</v>
      </c>
      <c r="Z84" s="1773">
        <v>84</v>
      </c>
    </row>
    <row r="85" spans="1:26" s="289" customFormat="1">
      <c r="A85" s="1711"/>
      <c r="B85" s="1711"/>
      <c r="D85" s="2620"/>
      <c r="E85" s="1298"/>
      <c r="J85" s="1296"/>
      <c r="K85" s="3167"/>
      <c r="L85" s="301" t="s">
        <v>2700</v>
      </c>
      <c r="M85" s="2688"/>
      <c r="N85" s="301" t="s">
        <v>3431</v>
      </c>
      <c r="O85" s="2688"/>
      <c r="P85" s="2690"/>
      <c r="Z85" s="1773">
        <v>85</v>
      </c>
    </row>
    <row r="86" spans="1:26" s="289" customFormat="1" ht="9" customHeight="1">
      <c r="A86" s="1711"/>
      <c r="B86" s="1711"/>
      <c r="D86" s="2619"/>
      <c r="E86" s="2619"/>
      <c r="F86" s="2619"/>
      <c r="G86" s="2619"/>
      <c r="I86" s="2630"/>
      <c r="K86" s="2620"/>
      <c r="L86" s="2620"/>
      <c r="M86" s="2630"/>
      <c r="N86" s="2629"/>
      <c r="P86" s="298"/>
      <c r="Z86" s="1773">
        <v>86</v>
      </c>
    </row>
    <row r="87" spans="1:26" s="289" customFormat="1">
      <c r="A87" s="1711"/>
      <c r="B87" s="1711" t="s">
        <v>1895</v>
      </c>
      <c r="C87" s="299" t="s">
        <v>1361</v>
      </c>
      <c r="D87" s="2629"/>
      <c r="E87" s="312"/>
      <c r="F87" s="2619" t="s">
        <v>764</v>
      </c>
      <c r="H87" s="750">
        <f>'Part VIII-Threshold Criteria'!K321</f>
        <v>4</v>
      </c>
      <c r="K87" s="3163" t="s">
        <v>495</v>
      </c>
      <c r="L87" s="3163"/>
      <c r="N87" s="1748">
        <f>IF('Part VI-Revenues &amp; Expenses'!$P$67=0,0,H87/'Part VI-Revenues &amp; Expenses'!$P$67)</f>
        <v>5.5555555555555552E-2</v>
      </c>
      <c r="O87" s="301" t="s">
        <v>3329</v>
      </c>
      <c r="P87" s="815">
        <f>'DCA Underwriting Assumptions'!$Q$155</f>
        <v>0.05</v>
      </c>
      <c r="Z87" s="1773">
        <v>87</v>
      </c>
    </row>
    <row r="88" spans="1:26" s="289" customFormat="1">
      <c r="A88" s="1711"/>
      <c r="B88" s="1711"/>
      <c r="D88" s="2619" t="s">
        <v>2634</v>
      </c>
      <c r="E88" s="2619"/>
      <c r="F88" s="2619" t="s">
        <v>764</v>
      </c>
      <c r="H88" s="751">
        <f>'Part VIII-Threshold Criteria'!K322</f>
        <v>2</v>
      </c>
      <c r="K88" s="2629" t="s">
        <v>2635</v>
      </c>
      <c r="L88" s="2629"/>
      <c r="N88" s="1749">
        <f>IF(H87=0,0,H88/H87)</f>
        <v>0.5</v>
      </c>
      <c r="O88" s="301" t="s">
        <v>3329</v>
      </c>
      <c r="P88" s="815">
        <f>'DCA Underwriting Assumptions'!$Q$156</f>
        <v>0.4</v>
      </c>
      <c r="Z88" s="1773">
        <v>88</v>
      </c>
    </row>
    <row r="89" spans="1:26" s="289" customFormat="1" ht="9" customHeight="1">
      <c r="A89" s="1711"/>
      <c r="B89" s="1711"/>
      <c r="D89" s="2619"/>
      <c r="E89" s="2619"/>
      <c r="F89" s="2619"/>
      <c r="I89" s="2630"/>
      <c r="K89" s="2620"/>
      <c r="L89" s="2620"/>
      <c r="M89" s="2630"/>
      <c r="N89" s="2630"/>
      <c r="P89" s="2624"/>
      <c r="Z89" s="1773">
        <v>89</v>
      </c>
    </row>
    <row r="90" spans="1:26" s="289" customFormat="1">
      <c r="A90" s="1711"/>
      <c r="B90" s="1711" t="s">
        <v>719</v>
      </c>
      <c r="C90" s="299" t="s">
        <v>1759</v>
      </c>
      <c r="D90" s="312"/>
      <c r="E90" s="312"/>
      <c r="F90" s="2619" t="s">
        <v>764</v>
      </c>
      <c r="H90" s="575">
        <f>'Part VIII-Threshold Criteria'!K324</f>
        <v>2</v>
      </c>
      <c r="K90" s="3163" t="s">
        <v>495</v>
      </c>
      <c r="L90" s="3163"/>
      <c r="N90" s="1364">
        <f>IF('Part VI-Revenues &amp; Expenses'!$P$67=0,0,H90/'Part VI-Revenues &amp; Expenses'!$P$67)</f>
        <v>2.7777777777777776E-2</v>
      </c>
      <c r="O90" s="301" t="s">
        <v>3329</v>
      </c>
      <c r="P90" s="815">
        <f>'DCA Underwriting Assumptions'!$Q$157</f>
        <v>0.02</v>
      </c>
      <c r="Z90" s="1773">
        <v>90</v>
      </c>
    </row>
    <row r="91" spans="1:26" s="289" customFormat="1">
      <c r="A91" s="1711"/>
      <c r="B91" s="1711"/>
      <c r="D91" s="2619"/>
      <c r="E91" s="2619"/>
      <c r="F91" s="2619"/>
      <c r="G91" s="2619"/>
      <c r="I91" s="2630"/>
      <c r="J91" s="2630"/>
      <c r="K91" s="2630"/>
      <c r="L91" s="2630"/>
      <c r="M91" s="2630"/>
      <c r="N91" s="2629"/>
      <c r="P91" s="298"/>
      <c r="Z91" s="1773">
        <v>91</v>
      </c>
    </row>
    <row r="92" spans="1:26" s="289" customFormat="1" ht="13.35" customHeight="1">
      <c r="A92" s="315" t="s">
        <v>742</v>
      </c>
      <c r="B92" s="1298" t="s">
        <v>3990</v>
      </c>
      <c r="D92" s="2619"/>
      <c r="E92" s="2619"/>
      <c r="F92" s="2619"/>
      <c r="G92" s="2619"/>
      <c r="H92" s="2619"/>
      <c r="I92" s="2630"/>
      <c r="M92" s="2630"/>
      <c r="N92" s="2629"/>
      <c r="P92" s="298"/>
      <c r="Z92" s="1773">
        <v>92</v>
      </c>
    </row>
    <row r="93" spans="1:26" s="289" customFormat="1" ht="1.5" customHeight="1">
      <c r="A93" s="1711"/>
      <c r="B93" s="1711"/>
      <c r="C93" s="1298"/>
      <c r="D93" s="2619"/>
      <c r="E93" s="2619"/>
      <c r="F93" s="2619"/>
      <c r="L93" s="2630"/>
      <c r="M93" s="2630"/>
      <c r="N93" s="2629"/>
      <c r="Z93" s="1773">
        <v>93</v>
      </c>
    </row>
    <row r="94" spans="1:26" s="289" customFormat="1" ht="13.35" customHeight="1">
      <c r="A94" s="1711"/>
      <c r="B94" s="1711" t="s">
        <v>1893</v>
      </c>
      <c r="C94" s="1662" t="s">
        <v>2271</v>
      </c>
      <c r="D94" s="2619"/>
      <c r="F94" s="2620"/>
      <c r="K94" s="3264" t="s">
        <v>6873</v>
      </c>
      <c r="L94" s="3266"/>
      <c r="M94" s="3265"/>
      <c r="N94" s="2629"/>
      <c r="Z94" s="1773">
        <v>94</v>
      </c>
    </row>
    <row r="95" spans="1:26" s="289" customFormat="1" ht="1.5" customHeight="1">
      <c r="A95" s="1711"/>
      <c r="B95" s="1711"/>
      <c r="D95" s="2619"/>
      <c r="F95" s="2619"/>
      <c r="G95" s="2619"/>
      <c r="H95" s="454" t="s">
        <v>4097</v>
      </c>
      <c r="L95" s="2630"/>
      <c r="M95" s="2630"/>
      <c r="Z95" s="1773">
        <v>95</v>
      </c>
    </row>
    <row r="96" spans="1:26" s="289" customFormat="1" ht="13.35" customHeight="1">
      <c r="B96" s="1711" t="s">
        <v>1895</v>
      </c>
      <c r="C96" s="291" t="s">
        <v>1473</v>
      </c>
      <c r="K96" s="2621" t="s">
        <v>4011</v>
      </c>
      <c r="N96" s="316"/>
      <c r="P96" s="2691" t="s">
        <v>6869</v>
      </c>
      <c r="Z96" s="1773">
        <v>96</v>
      </c>
    </row>
    <row r="97" spans="1:26" s="289" customFormat="1" ht="4.5" customHeight="1">
      <c r="A97" s="1711"/>
      <c r="B97" s="1711"/>
      <c r="C97" s="291"/>
      <c r="D97" s="2619"/>
      <c r="E97" s="2619"/>
      <c r="F97" s="2619"/>
      <c r="G97" s="2619"/>
      <c r="I97" s="2630"/>
      <c r="J97" s="2630"/>
      <c r="K97" s="2630"/>
      <c r="L97" s="2630"/>
      <c r="M97" s="2630"/>
      <c r="N97" s="2629"/>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9"/>
      <c r="P99" s="298"/>
      <c r="Z99" s="1773">
        <v>99</v>
      </c>
    </row>
    <row r="100" spans="1:26" s="289" customFormat="1" ht="13.35" customHeight="1">
      <c r="A100" s="315"/>
      <c r="B100" s="1711" t="s">
        <v>1893</v>
      </c>
      <c r="C100" s="291" t="s">
        <v>2556</v>
      </c>
      <c r="F100" s="312" t="s">
        <v>2480</v>
      </c>
      <c r="H100" s="2692" t="s">
        <v>2772</v>
      </c>
      <c r="K100" s="2620" t="s">
        <v>932</v>
      </c>
      <c r="M100" s="2680" t="s">
        <v>2772</v>
      </c>
      <c r="O100" s="295" t="s">
        <v>3930</v>
      </c>
      <c r="P100" s="2693" t="s">
        <v>2772</v>
      </c>
      <c r="Z100" s="1773">
        <v>100</v>
      </c>
    </row>
    <row r="101" spans="1:26" s="289" customFormat="1" ht="13.35" customHeight="1">
      <c r="A101" s="315"/>
      <c r="B101" s="1711"/>
      <c r="C101" s="291"/>
      <c r="F101" s="2619" t="s">
        <v>3446</v>
      </c>
      <c r="H101" s="2694" t="s">
        <v>2772</v>
      </c>
      <c r="K101" s="2620" t="s">
        <v>6315</v>
      </c>
      <c r="P101" s="2694" t="s">
        <v>2772</v>
      </c>
      <c r="Z101" s="1773">
        <v>101</v>
      </c>
    </row>
    <row r="102" spans="1:26" s="289" customFormat="1" ht="2.25" customHeight="1">
      <c r="A102" s="1711"/>
      <c r="B102" s="1711"/>
      <c r="C102" s="1298"/>
      <c r="F102" s="2619"/>
      <c r="H102" s="2619"/>
      <c r="J102" s="2630"/>
      <c r="K102" s="2630"/>
      <c r="L102" s="2630"/>
      <c r="M102" s="2630"/>
      <c r="N102" s="2630"/>
      <c r="P102" s="298"/>
      <c r="Z102" s="1773">
        <v>102</v>
      </c>
    </row>
    <row r="103" spans="1:26" s="289" customFormat="1" ht="13.35" customHeight="1">
      <c r="A103" s="315"/>
      <c r="B103" s="1711" t="s">
        <v>1895</v>
      </c>
      <c r="C103" s="291" t="s">
        <v>2557</v>
      </c>
      <c r="F103" s="2620" t="s">
        <v>2533</v>
      </c>
      <c r="H103" s="2685" t="s">
        <v>2772</v>
      </c>
      <c r="J103" s="2630"/>
      <c r="K103" s="2639"/>
      <c r="L103" s="2630"/>
      <c r="Z103" s="1773">
        <v>103</v>
      </c>
    </row>
    <row r="104" spans="1:26" s="289" customFormat="1" ht="4.5" customHeight="1">
      <c r="A104" s="1711"/>
      <c r="B104" s="1711"/>
      <c r="C104" s="291"/>
      <c r="D104" s="2619"/>
      <c r="E104" s="2619"/>
      <c r="F104" s="2619"/>
      <c r="G104" s="2619"/>
      <c r="I104" s="2630"/>
      <c r="J104" s="2630"/>
      <c r="K104" s="2630"/>
      <c r="L104" s="2630"/>
      <c r="M104" s="2630"/>
      <c r="N104" s="2629"/>
      <c r="P104" s="298"/>
      <c r="Z104" s="1773">
        <v>104</v>
      </c>
    </row>
    <row r="105" spans="1:26" s="289" customFormat="1" ht="13.35" customHeight="1">
      <c r="A105" s="315" t="s">
        <v>407</v>
      </c>
      <c r="B105" s="1298" t="s">
        <v>6314</v>
      </c>
      <c r="D105" s="2619"/>
      <c r="H105" s="3264" t="s">
        <v>6319</v>
      </c>
      <c r="I105" s="3265"/>
      <c r="J105" s="2630"/>
      <c r="Z105" s="1773">
        <v>105</v>
      </c>
    </row>
    <row r="106" spans="1:26" s="289" customFormat="1" ht="4.5" customHeight="1">
      <c r="A106" s="1711"/>
      <c r="D106" s="305"/>
      <c r="E106" s="2629"/>
      <c r="I106" s="305"/>
      <c r="J106" s="297"/>
      <c r="K106" s="2629"/>
      <c r="P106" s="298"/>
      <c r="Z106" s="1773">
        <v>106</v>
      </c>
    </row>
    <row r="107" spans="1:26" s="289" customFormat="1" ht="13.35" customHeight="1">
      <c r="A107" s="315" t="s">
        <v>346</v>
      </c>
      <c r="B107" s="310" t="s">
        <v>1144</v>
      </c>
      <c r="D107" s="2629"/>
      <c r="E107" s="2629"/>
      <c r="F107" s="2629"/>
      <c r="G107" s="2629"/>
      <c r="H107" s="2629"/>
      <c r="I107" s="305"/>
      <c r="J107" s="297"/>
      <c r="K107" s="2629"/>
      <c r="P107" s="298"/>
      <c r="Z107" s="1773">
        <v>107</v>
      </c>
    </row>
    <row r="108" spans="1:26" s="289" customFormat="1" ht="3" customHeight="1">
      <c r="A108" s="315"/>
      <c r="B108" s="1711"/>
      <c r="C108" s="310"/>
      <c r="D108" s="2629"/>
      <c r="E108" s="2629"/>
      <c r="F108" s="2629"/>
      <c r="G108" s="2629"/>
      <c r="H108" s="2629"/>
      <c r="I108" s="305"/>
      <c r="J108" s="297"/>
      <c r="K108" s="2629"/>
      <c r="Z108" s="1773">
        <v>108</v>
      </c>
    </row>
    <row r="109" spans="1:26" s="289" customFormat="1" ht="13.35" customHeight="1">
      <c r="A109" s="1711"/>
      <c r="B109" s="1711"/>
      <c r="C109" s="297" t="s">
        <v>525</v>
      </c>
      <c r="D109" s="2629"/>
      <c r="E109" s="3137"/>
      <c r="F109" s="3138"/>
      <c r="G109" s="3138"/>
      <c r="H109" s="3138"/>
      <c r="I109" s="3138"/>
      <c r="J109" s="3138"/>
      <c r="K109" s="3138"/>
      <c r="L109" s="3139"/>
      <c r="M109" s="3288" t="s">
        <v>526</v>
      </c>
      <c r="N109" s="3288"/>
      <c r="O109" s="3196"/>
      <c r="P109" s="3197"/>
      <c r="Z109" s="1773">
        <v>109</v>
      </c>
    </row>
    <row r="110" spans="1:26" s="289" customFormat="1" ht="13.35" customHeight="1">
      <c r="C110" s="2621" t="s">
        <v>982</v>
      </c>
      <c r="D110" s="301"/>
      <c r="E110" s="3289"/>
      <c r="F110" s="3160"/>
      <c r="G110" s="3160"/>
      <c r="H110" s="3290"/>
      <c r="I110" s="3160"/>
      <c r="J110" s="3290"/>
      <c r="K110" s="3160"/>
      <c r="L110" s="3291"/>
      <c r="M110" s="3288" t="s">
        <v>775</v>
      </c>
      <c r="N110" s="3288"/>
      <c r="O110" s="3292"/>
      <c r="P110" s="3293"/>
      <c r="Z110" s="1773">
        <v>110</v>
      </c>
    </row>
    <row r="111" spans="1:26" s="289" customFormat="1" ht="13.35" customHeight="1">
      <c r="C111" s="2621" t="s">
        <v>588</v>
      </c>
      <c r="E111" s="3154"/>
      <c r="F111" s="3268"/>
      <c r="G111" s="3269"/>
      <c r="H111" s="2624" t="s">
        <v>1717</v>
      </c>
      <c r="I111" s="2695"/>
      <c r="J111" s="317" t="s">
        <v>2128</v>
      </c>
      <c r="K111" s="3281"/>
      <c r="L111" s="3282"/>
      <c r="M111" s="267" t="s">
        <v>3305</v>
      </c>
      <c r="N111" s="267"/>
      <c r="O111" s="3283"/>
      <c r="P111" s="3284"/>
      <c r="Z111" s="1773">
        <v>111</v>
      </c>
    </row>
    <row r="112" spans="1:26" s="289" customFormat="1" ht="13.35" customHeight="1">
      <c r="C112" s="289" t="s">
        <v>2099</v>
      </c>
      <c r="E112" s="3154"/>
      <c r="F112" s="3268"/>
      <c r="G112" s="3269"/>
      <c r="H112" s="846" t="s">
        <v>1890</v>
      </c>
      <c r="I112" s="3270"/>
      <c r="J112" s="3271"/>
      <c r="K112" s="3272"/>
      <c r="L112" s="2646" t="s">
        <v>1894</v>
      </c>
      <c r="M112" s="3137"/>
      <c r="N112" s="3273"/>
      <c r="O112" s="3274"/>
      <c r="P112" s="3275"/>
      <c r="Z112" s="1773">
        <v>112</v>
      </c>
    </row>
    <row r="113" spans="1:26" s="289" customFormat="1" ht="13.35" customHeight="1">
      <c r="C113" s="2621" t="s">
        <v>2098</v>
      </c>
      <c r="E113" s="3276"/>
      <c r="F113" s="3277"/>
      <c r="G113" s="3278"/>
      <c r="H113" s="846" t="s">
        <v>1719</v>
      </c>
      <c r="I113" s="3276"/>
      <c r="J113" s="3279"/>
      <c r="K113" s="2624" t="s">
        <v>2553</v>
      </c>
      <c r="L113" s="3280"/>
      <c r="M113" s="3152"/>
      <c r="N113" s="3152"/>
      <c r="O113" s="3152"/>
      <c r="P113" s="3153"/>
      <c r="Z113" s="1773">
        <v>113</v>
      </c>
    </row>
    <row r="114" spans="1:26" s="289" customFormat="1" ht="3" customHeight="1">
      <c r="A114" s="1711"/>
      <c r="B114" s="1711"/>
      <c r="G114" s="305"/>
      <c r="H114" s="2630"/>
      <c r="I114" s="2630"/>
      <c r="M114" s="298"/>
      <c r="Z114" s="1773">
        <v>114</v>
      </c>
    </row>
    <row r="115" spans="1:26" s="289" customFormat="1" ht="13.35" customHeight="1">
      <c r="A115" s="315" t="s">
        <v>347</v>
      </c>
      <c r="B115" s="1298" t="s">
        <v>1596</v>
      </c>
      <c r="D115" s="305"/>
      <c r="E115" s="305"/>
      <c r="F115" s="2630"/>
      <c r="G115" s="2630"/>
      <c r="H115" s="2630"/>
      <c r="N115" s="2629"/>
      <c r="O115" s="2629"/>
      <c r="P115" s="298"/>
      <c r="Z115" s="1773">
        <v>115</v>
      </c>
    </row>
    <row r="116" spans="1:26" s="289" customFormat="1" ht="1.5" customHeight="1">
      <c r="A116" s="315"/>
      <c r="B116" s="1298"/>
      <c r="D116" s="305"/>
      <c r="E116" s="305"/>
      <c r="F116" s="2630"/>
      <c r="G116" s="2630"/>
      <c r="H116" s="2630"/>
      <c r="I116" s="2630"/>
      <c r="J116" s="305"/>
      <c r="K116" s="2630"/>
      <c r="L116" s="2630"/>
      <c r="N116" s="2629"/>
      <c r="O116" s="2629"/>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30"/>
      <c r="G119" s="2630"/>
      <c r="H119" s="2696">
        <v>1</v>
      </c>
      <c r="N119" s="2629"/>
      <c r="O119" s="2629"/>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30"/>
      <c r="G121" s="2630"/>
      <c r="H121" s="2697">
        <v>1000000</v>
      </c>
      <c r="J121" s="305"/>
      <c r="K121" s="2620"/>
      <c r="N121" s="2629"/>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30"/>
      <c r="G123" s="2630"/>
      <c r="H123" s="2630"/>
      <c r="I123" s="2630"/>
      <c r="J123" s="305"/>
      <c r="K123" s="2630"/>
      <c r="L123" s="2630"/>
      <c r="N123" s="2629"/>
      <c r="O123" s="2629"/>
      <c r="Z123" s="1773">
        <v>123</v>
      </c>
    </row>
    <row r="124" spans="1:26" s="289" customFormat="1" ht="13.35" customHeight="1">
      <c r="B124" s="1711"/>
      <c r="C124" s="2619" t="s">
        <v>2041</v>
      </c>
      <c r="D124" s="2619"/>
      <c r="F124" s="2619" t="s">
        <v>1093</v>
      </c>
      <c r="G124" s="2630"/>
      <c r="H124" s="2630"/>
      <c r="I124" s="2630" t="s">
        <v>1246</v>
      </c>
      <c r="J124" s="2619" t="s">
        <v>2041</v>
      </c>
      <c r="K124" s="2619"/>
      <c r="M124" s="2619" t="s">
        <v>1093</v>
      </c>
      <c r="N124" s="2630"/>
      <c r="O124" s="2630"/>
      <c r="P124" s="2630" t="s">
        <v>1246</v>
      </c>
      <c r="Z124" s="1773">
        <v>124</v>
      </c>
    </row>
    <row r="125" spans="1:26" s="289" customFormat="1" ht="13.35" customHeight="1">
      <c r="A125" s="1711"/>
      <c r="B125" s="1711"/>
      <c r="C125" s="3169" t="s">
        <v>6870</v>
      </c>
      <c r="D125" s="3170"/>
      <c r="E125" s="3170"/>
      <c r="F125" s="3171" t="s">
        <v>6861</v>
      </c>
      <c r="G125" s="3172"/>
      <c r="H125" s="3267"/>
      <c r="I125" s="2698" t="s">
        <v>6871</v>
      </c>
      <c r="J125" s="3169">
        <v>7</v>
      </c>
      <c r="K125" s="3170"/>
      <c r="L125" s="3170"/>
      <c r="M125" s="3171"/>
      <c r="N125" s="3172"/>
      <c r="O125" s="3267"/>
      <c r="P125" s="2698"/>
      <c r="Z125" s="1773">
        <v>125</v>
      </c>
    </row>
    <row r="126" spans="1:26" s="289" customFormat="1" ht="13.35" customHeight="1">
      <c r="A126" s="1711"/>
      <c r="B126" s="1711"/>
      <c r="C126" s="3174" t="s">
        <v>6854</v>
      </c>
      <c r="D126" s="3175"/>
      <c r="E126" s="3175"/>
      <c r="F126" s="3176" t="s">
        <v>6861</v>
      </c>
      <c r="G126" s="3177"/>
      <c r="H126" s="3179"/>
      <c r="I126" s="2699" t="s">
        <v>6871</v>
      </c>
      <c r="J126" s="3174">
        <v>8</v>
      </c>
      <c r="K126" s="3175"/>
      <c r="L126" s="3175"/>
      <c r="M126" s="3176"/>
      <c r="N126" s="3177"/>
      <c r="O126" s="3179"/>
      <c r="P126" s="2699"/>
      <c r="Z126" s="1773">
        <v>126</v>
      </c>
    </row>
    <row r="127" spans="1:26" s="289" customFormat="1" ht="13.35" customHeight="1">
      <c r="A127" s="1711"/>
      <c r="B127" s="1711"/>
      <c r="C127" s="3174" t="s">
        <v>6872</v>
      </c>
      <c r="D127" s="3175"/>
      <c r="E127" s="3175"/>
      <c r="F127" s="3176" t="s">
        <v>6861</v>
      </c>
      <c r="G127" s="3177"/>
      <c r="H127" s="3179"/>
      <c r="I127" s="2699" t="s">
        <v>6871</v>
      </c>
      <c r="J127" s="3174">
        <v>9</v>
      </c>
      <c r="K127" s="3175"/>
      <c r="L127" s="3175"/>
      <c r="M127" s="3176"/>
      <c r="N127" s="3177"/>
      <c r="O127" s="3179"/>
      <c r="P127" s="2699"/>
      <c r="Z127" s="1773">
        <v>127</v>
      </c>
    </row>
    <row r="128" spans="1:26" s="289" customFormat="1" ht="13.35" customHeight="1">
      <c r="A128" s="1711"/>
      <c r="B128" s="1711"/>
      <c r="C128" s="3174" t="s">
        <v>6981</v>
      </c>
      <c r="D128" s="3175"/>
      <c r="E128" s="3175"/>
      <c r="F128" s="3176" t="s">
        <v>6861</v>
      </c>
      <c r="G128" s="3177"/>
      <c r="H128" s="3179"/>
      <c r="I128" s="2699" t="s">
        <v>6871</v>
      </c>
      <c r="J128" s="3174">
        <v>10</v>
      </c>
      <c r="K128" s="3175"/>
      <c r="L128" s="3175"/>
      <c r="M128" s="3176"/>
      <c r="N128" s="3177"/>
      <c r="O128" s="3179"/>
      <c r="P128" s="2699"/>
      <c r="Z128" s="1773">
        <v>128</v>
      </c>
    </row>
    <row r="129" spans="1:26" s="289" customFormat="1" ht="13.35" customHeight="1">
      <c r="A129" s="1711"/>
      <c r="B129" s="1711"/>
      <c r="C129" s="3174">
        <v>5</v>
      </c>
      <c r="D129" s="3175"/>
      <c r="E129" s="3175"/>
      <c r="F129" s="3176"/>
      <c r="G129" s="3177"/>
      <c r="H129" s="3179"/>
      <c r="I129" s="2699"/>
      <c r="J129" s="3174">
        <v>11</v>
      </c>
      <c r="K129" s="3175"/>
      <c r="L129" s="3175"/>
      <c r="M129" s="3176"/>
      <c r="N129" s="3177"/>
      <c r="O129" s="3179"/>
      <c r="P129" s="2699"/>
      <c r="Z129" s="1773">
        <v>129</v>
      </c>
    </row>
    <row r="130" spans="1:26" s="289" customFormat="1" ht="13.35" customHeight="1">
      <c r="A130" s="1711"/>
      <c r="B130" s="1711"/>
      <c r="C130" s="3180">
        <v>6</v>
      </c>
      <c r="D130" s="3181"/>
      <c r="E130" s="3181"/>
      <c r="F130" s="3260"/>
      <c r="G130" s="3261"/>
      <c r="H130" s="3262"/>
      <c r="I130" s="2700"/>
      <c r="J130" s="3180">
        <v>12</v>
      </c>
      <c r="K130" s="3181"/>
      <c r="L130" s="3181"/>
      <c r="M130" s="3260"/>
      <c r="N130" s="3261"/>
      <c r="O130" s="3262"/>
      <c r="P130" s="2700"/>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8" t="s">
        <v>1761</v>
      </c>
      <c r="D132" s="3168"/>
      <c r="E132" s="3168"/>
      <c r="F132" s="3168"/>
      <c r="G132" s="3168"/>
      <c r="H132" s="3168"/>
      <c r="I132" s="3168"/>
      <c r="J132" s="3168"/>
      <c r="K132" s="3168"/>
      <c r="L132" s="3168"/>
      <c r="M132" s="3168"/>
      <c r="N132" s="3168"/>
      <c r="O132" s="3168"/>
      <c r="P132" s="3168"/>
      <c r="Z132" s="1773">
        <v>132</v>
      </c>
    </row>
    <row r="133" spans="1:26" s="289" customFormat="1" ht="13.35" customHeight="1">
      <c r="A133" s="1711"/>
      <c r="B133" s="1711"/>
      <c r="C133" s="3168"/>
      <c r="D133" s="3168"/>
      <c r="E133" s="3168"/>
      <c r="F133" s="3168"/>
      <c r="G133" s="3168"/>
      <c r="H133" s="3168"/>
      <c r="I133" s="3168"/>
      <c r="J133" s="3168"/>
      <c r="K133" s="3168"/>
      <c r="L133" s="3168"/>
      <c r="M133" s="3168"/>
      <c r="N133" s="3168"/>
      <c r="O133" s="3168"/>
      <c r="P133" s="3168"/>
      <c r="Z133" s="1773">
        <v>133</v>
      </c>
    </row>
    <row r="134" spans="1:26" s="289" customFormat="1" ht="13.35" customHeight="1">
      <c r="B134" s="1711"/>
      <c r="C134" s="2619" t="s">
        <v>2041</v>
      </c>
      <c r="D134" s="2619"/>
      <c r="F134" s="2619" t="s">
        <v>1093</v>
      </c>
      <c r="G134" s="2630"/>
      <c r="H134" s="2630"/>
      <c r="I134" s="2630"/>
      <c r="J134" s="2619" t="s">
        <v>2041</v>
      </c>
      <c r="K134" s="2619"/>
      <c r="M134" s="2619" t="s">
        <v>1093</v>
      </c>
      <c r="N134" s="2630"/>
      <c r="O134" s="2630"/>
      <c r="P134" s="2630"/>
      <c r="Z134" s="1773">
        <v>134</v>
      </c>
    </row>
    <row r="135" spans="1:26" s="289" customFormat="1" ht="13.35" customHeight="1">
      <c r="A135" s="1711"/>
      <c r="B135" s="1711"/>
      <c r="C135" s="3169">
        <v>1</v>
      </c>
      <c r="D135" s="3170"/>
      <c r="E135" s="3170"/>
      <c r="F135" s="3171"/>
      <c r="G135" s="3172"/>
      <c r="H135" s="3172"/>
      <c r="I135" s="3173"/>
      <c r="J135" s="3169">
        <v>7</v>
      </c>
      <c r="K135" s="3170"/>
      <c r="L135" s="3170"/>
      <c r="M135" s="3171"/>
      <c r="N135" s="3172"/>
      <c r="O135" s="3172"/>
      <c r="P135" s="3173"/>
      <c r="Z135" s="1773">
        <v>135</v>
      </c>
    </row>
    <row r="136" spans="1:26" s="289" customFormat="1" ht="13.35" customHeight="1">
      <c r="A136" s="1711"/>
      <c r="B136" s="1711"/>
      <c r="C136" s="3174">
        <v>2</v>
      </c>
      <c r="D136" s="3175"/>
      <c r="E136" s="3175"/>
      <c r="F136" s="3176"/>
      <c r="G136" s="3177"/>
      <c r="H136" s="3177"/>
      <c r="I136" s="3178"/>
      <c r="J136" s="3174">
        <v>8</v>
      </c>
      <c r="K136" s="3175"/>
      <c r="L136" s="3175"/>
      <c r="M136" s="3176"/>
      <c r="N136" s="3177"/>
      <c r="O136" s="3177"/>
      <c r="P136" s="3178"/>
      <c r="Z136" s="1773">
        <v>136</v>
      </c>
    </row>
    <row r="137" spans="1:26" s="289" customFormat="1" ht="13.35" customHeight="1">
      <c r="A137" s="1711"/>
      <c r="B137" s="1711"/>
      <c r="C137" s="3174">
        <v>3</v>
      </c>
      <c r="D137" s="3175"/>
      <c r="E137" s="3175"/>
      <c r="F137" s="3176"/>
      <c r="G137" s="3177"/>
      <c r="H137" s="3177"/>
      <c r="I137" s="3178"/>
      <c r="J137" s="3174">
        <v>9</v>
      </c>
      <c r="K137" s="3175"/>
      <c r="L137" s="3175"/>
      <c r="M137" s="3176"/>
      <c r="N137" s="3177"/>
      <c r="O137" s="3177"/>
      <c r="P137" s="3178"/>
      <c r="Z137" s="1773">
        <v>137</v>
      </c>
    </row>
    <row r="138" spans="1:26" s="289" customFormat="1" ht="13.35" customHeight="1">
      <c r="A138" s="1711"/>
      <c r="B138" s="1711"/>
      <c r="C138" s="3174">
        <v>4</v>
      </c>
      <c r="D138" s="3175"/>
      <c r="E138" s="3175"/>
      <c r="F138" s="3176"/>
      <c r="G138" s="3177"/>
      <c r="H138" s="3177"/>
      <c r="I138" s="3178"/>
      <c r="J138" s="3174">
        <v>10</v>
      </c>
      <c r="K138" s="3175"/>
      <c r="L138" s="3175"/>
      <c r="M138" s="3176"/>
      <c r="N138" s="3177"/>
      <c r="O138" s="3177"/>
      <c r="P138" s="3178"/>
      <c r="Z138" s="1773">
        <v>138</v>
      </c>
    </row>
    <row r="139" spans="1:26" s="289" customFormat="1" ht="13.35" customHeight="1">
      <c r="A139" s="1711"/>
      <c r="B139" s="1711"/>
      <c r="C139" s="3174">
        <v>5</v>
      </c>
      <c r="D139" s="3175"/>
      <c r="E139" s="3175"/>
      <c r="F139" s="3176"/>
      <c r="G139" s="3177"/>
      <c r="H139" s="3177"/>
      <c r="I139" s="3178"/>
      <c r="J139" s="3174">
        <v>11</v>
      </c>
      <c r="K139" s="3175"/>
      <c r="L139" s="3175"/>
      <c r="M139" s="3176"/>
      <c r="N139" s="3177"/>
      <c r="O139" s="3177"/>
      <c r="P139" s="3178"/>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30"/>
      <c r="G141" s="2630"/>
      <c r="H141" s="2630"/>
      <c r="I141" s="2630"/>
      <c r="J141" s="305"/>
      <c r="K141" s="2630"/>
      <c r="L141" s="2630"/>
      <c r="N141" s="2629"/>
      <c r="O141" s="2629"/>
      <c r="P141" s="298"/>
      <c r="Z141" s="1773">
        <v>141</v>
      </c>
    </row>
    <row r="142" spans="1:26" s="289" customFormat="1" ht="14.45" customHeight="1" thickBot="1">
      <c r="A142" s="291" t="s">
        <v>348</v>
      </c>
      <c r="B142" s="299" t="s">
        <v>4028</v>
      </c>
      <c r="D142" s="299"/>
      <c r="E142" s="299"/>
      <c r="F142" s="299"/>
      <c r="I142" s="2701" t="s">
        <v>2772</v>
      </c>
      <c r="K142" s="289" t="s">
        <v>6480</v>
      </c>
      <c r="M142" s="2630"/>
      <c r="N142" s="2629"/>
      <c r="O142" s="2629"/>
      <c r="P142" s="298"/>
      <c r="Z142" s="1773">
        <v>142</v>
      </c>
    </row>
    <row r="143" spans="1:26" s="289" customFormat="1" ht="6" customHeight="1">
      <c r="A143" s="315"/>
      <c r="B143" s="1711"/>
      <c r="C143" s="1298"/>
      <c r="D143" s="1298"/>
      <c r="E143" s="1298"/>
      <c r="F143" s="1298"/>
      <c r="G143" s="2630"/>
      <c r="M143" s="2630"/>
      <c r="N143" s="2629"/>
      <c r="O143" s="2629"/>
      <c r="Z143" s="1773">
        <v>143</v>
      </c>
    </row>
    <row r="144" spans="1:26" s="289" customFormat="1" ht="12" customHeight="1">
      <c r="A144" s="1711"/>
      <c r="B144" s="1711" t="s">
        <v>1893</v>
      </c>
      <c r="C144" s="294" t="s">
        <v>6399</v>
      </c>
      <c r="I144" s="2692"/>
      <c r="K144" s="289" t="s">
        <v>6481</v>
      </c>
      <c r="M144" s="2630"/>
      <c r="N144" s="2629"/>
      <c r="O144" s="3182"/>
      <c r="P144" s="3183"/>
      <c r="Z144" s="1773">
        <v>144</v>
      </c>
    </row>
    <row r="145" spans="1:26" s="289" customFormat="1" ht="12" customHeight="1">
      <c r="A145" s="1711"/>
      <c r="B145" s="1711"/>
      <c r="C145" s="2619" t="s">
        <v>2309</v>
      </c>
      <c r="D145" s="2619"/>
      <c r="E145" s="2619"/>
      <c r="F145" s="2630"/>
      <c r="I145" s="2702"/>
      <c r="K145" s="289" t="s">
        <v>6483</v>
      </c>
      <c r="N145" s="2629"/>
      <c r="O145" s="3210"/>
      <c r="P145" s="3211"/>
      <c r="Z145" s="1773">
        <v>145</v>
      </c>
    </row>
    <row r="146" spans="1:26" s="289" customFormat="1" ht="12" customHeight="1">
      <c r="A146" s="1711"/>
      <c r="B146" s="1711"/>
      <c r="C146" s="320" t="s">
        <v>1636</v>
      </c>
      <c r="D146" s="2621"/>
      <c r="I146" s="2681"/>
      <c r="K146" s="289" t="s">
        <v>6484</v>
      </c>
      <c r="O146" s="3212"/>
      <c r="P146" s="3213"/>
      <c r="Z146" s="1773">
        <v>146</v>
      </c>
    </row>
    <row r="147" spans="1:26" s="289" customFormat="1" ht="12" customHeight="1">
      <c r="A147" s="1711"/>
      <c r="B147" s="1711"/>
      <c r="C147" s="2619" t="s">
        <v>2310</v>
      </c>
      <c r="D147" s="2619"/>
      <c r="E147" s="1298"/>
      <c r="F147" s="2630"/>
      <c r="I147" s="2702"/>
      <c r="K147" s="267" t="s">
        <v>2143</v>
      </c>
      <c r="O147" s="3137" t="s">
        <v>464</v>
      </c>
      <c r="P147" s="3139"/>
      <c r="Z147" s="1773">
        <v>147</v>
      </c>
    </row>
    <row r="148" spans="1:26" s="289" customFormat="1" ht="12" customHeight="1">
      <c r="A148" s="1711"/>
      <c r="B148" s="1711"/>
      <c r="C148" s="2619" t="s">
        <v>2308</v>
      </c>
      <c r="F148" s="2630" t="s">
        <v>6397</v>
      </c>
      <c r="G148" s="3186"/>
      <c r="H148" s="3187"/>
      <c r="I148" s="2703"/>
      <c r="K148" s="267" t="s">
        <v>2144</v>
      </c>
      <c r="O148" s="3188" t="s">
        <v>464</v>
      </c>
      <c r="P148" s="3189"/>
      <c r="Z148" s="1773">
        <v>148</v>
      </c>
    </row>
    <row r="149" spans="1:26" s="289" customFormat="1" ht="12" customHeight="1">
      <c r="A149" s="1711"/>
      <c r="B149" s="1711"/>
      <c r="C149" s="2619" t="s">
        <v>2071</v>
      </c>
      <c r="D149" s="2619"/>
      <c r="E149" s="2619"/>
      <c r="F149" s="2630"/>
      <c r="I149" s="3161"/>
      <c r="J149" s="3162"/>
      <c r="N149" s="2629"/>
      <c r="O149" s="2629"/>
      <c r="P149" s="298"/>
      <c r="Z149" s="1773">
        <v>149</v>
      </c>
    </row>
    <row r="150" spans="1:26" s="289" customFormat="1" ht="6" customHeight="1">
      <c r="A150" s="1711"/>
      <c r="B150" s="1711"/>
      <c r="C150" s="2619"/>
      <c r="D150" s="2619"/>
      <c r="E150" s="2619"/>
      <c r="F150" s="2630"/>
      <c r="G150" s="2630"/>
      <c r="M150" s="2630"/>
      <c r="N150" s="2629"/>
      <c r="O150" s="2629"/>
      <c r="P150" s="298"/>
      <c r="Z150" s="1773">
        <v>150</v>
      </c>
    </row>
    <row r="151" spans="1:26" s="289" customFormat="1" ht="12" customHeight="1">
      <c r="A151" s="1711"/>
      <c r="B151" s="1711" t="s">
        <v>1895</v>
      </c>
      <c r="C151" s="294" t="s">
        <v>6482</v>
      </c>
      <c r="I151" s="2692"/>
      <c r="K151" s="289" t="s">
        <v>6481</v>
      </c>
      <c r="M151" s="2630"/>
      <c r="N151" s="2629"/>
      <c r="O151" s="3182"/>
      <c r="P151" s="3183"/>
      <c r="Z151" s="1773">
        <v>151</v>
      </c>
    </row>
    <row r="152" spans="1:26" s="289" customFormat="1" ht="12" customHeight="1">
      <c r="A152" s="1711"/>
      <c r="B152" s="1711"/>
      <c r="C152" s="2619" t="s">
        <v>6398</v>
      </c>
      <c r="D152" s="2619"/>
      <c r="E152" s="2619"/>
      <c r="F152" s="2630"/>
      <c r="I152" s="2702"/>
      <c r="K152" s="289" t="s">
        <v>6483</v>
      </c>
      <c r="N152" s="2629"/>
      <c r="O152" s="3210"/>
      <c r="P152" s="3211"/>
      <c r="Z152" s="1773">
        <v>152</v>
      </c>
    </row>
    <row r="153" spans="1:26" s="289" customFormat="1" ht="12" customHeight="1">
      <c r="A153" s="1711"/>
      <c r="B153" s="1711"/>
      <c r="C153" s="320" t="s">
        <v>1636</v>
      </c>
      <c r="D153" s="2621"/>
      <c r="I153" s="2681"/>
      <c r="K153" s="289" t="s">
        <v>6484</v>
      </c>
      <c r="O153" s="3212"/>
      <c r="P153" s="3213"/>
      <c r="Z153" s="1773">
        <v>153</v>
      </c>
    </row>
    <row r="154" spans="1:26" s="289" customFormat="1" ht="12" customHeight="1">
      <c r="A154" s="1711"/>
      <c r="B154" s="1711"/>
      <c r="C154" s="2619" t="s">
        <v>2310</v>
      </c>
      <c r="D154" s="2619"/>
      <c r="E154" s="1298"/>
      <c r="F154" s="2630"/>
      <c r="I154" s="2702"/>
      <c r="K154" s="267" t="s">
        <v>2143</v>
      </c>
      <c r="O154" s="3137" t="s">
        <v>464</v>
      </c>
      <c r="P154" s="3139"/>
      <c r="Z154" s="1773">
        <v>154</v>
      </c>
    </row>
    <row r="155" spans="1:26" s="289" customFormat="1" ht="12" customHeight="1">
      <c r="A155" s="1711"/>
      <c r="B155" s="1711"/>
      <c r="C155" s="2619" t="s">
        <v>2308</v>
      </c>
      <c r="F155" s="2630" t="s">
        <v>6397</v>
      </c>
      <c r="G155" s="3186"/>
      <c r="H155" s="3187"/>
      <c r="I155" s="2703"/>
      <c r="K155" s="267" t="s">
        <v>2144</v>
      </c>
      <c r="O155" s="3188" t="s">
        <v>464</v>
      </c>
      <c r="P155" s="3189"/>
      <c r="Z155" s="1773">
        <v>155</v>
      </c>
    </row>
    <row r="156" spans="1:26" s="289" customFormat="1" ht="12" customHeight="1">
      <c r="A156" s="1711"/>
      <c r="B156" s="1711"/>
      <c r="C156" s="2619" t="s">
        <v>2071</v>
      </c>
      <c r="D156" s="2619"/>
      <c r="E156" s="2619"/>
      <c r="F156" s="2630"/>
      <c r="I156" s="3161"/>
      <c r="J156" s="3162"/>
      <c r="N156" s="2629"/>
      <c r="O156" s="2629"/>
      <c r="P156" s="298"/>
      <c r="Z156" s="1773">
        <v>156</v>
      </c>
    </row>
    <row r="157" spans="1:26" s="289" customFormat="1" ht="6" customHeight="1">
      <c r="A157" s="1711"/>
      <c r="B157" s="1711"/>
      <c r="C157" s="2619"/>
      <c r="D157" s="2619"/>
      <c r="E157" s="2619"/>
      <c r="F157" s="2630"/>
      <c r="G157" s="2630"/>
      <c r="M157" s="2630"/>
      <c r="N157" s="2629"/>
      <c r="O157" s="2629"/>
      <c r="P157" s="298"/>
      <c r="Z157" s="1773">
        <v>157</v>
      </c>
    </row>
    <row r="158" spans="1:26" s="289" customFormat="1" ht="12" customHeight="1">
      <c r="A158" s="1711"/>
      <c r="B158" s="1711" t="s">
        <v>719</v>
      </c>
      <c r="C158" s="1327" t="s">
        <v>2550</v>
      </c>
      <c r="D158" s="2619"/>
      <c r="E158" s="312" t="s">
        <v>4086</v>
      </c>
      <c r="F158" s="312"/>
      <c r="G158" s="312"/>
      <c r="I158" s="2704"/>
      <c r="K158" s="312" t="s">
        <v>4088</v>
      </c>
      <c r="L158" s="312"/>
      <c r="M158" s="312"/>
      <c r="O158" s="2705"/>
      <c r="P158" s="298"/>
      <c r="Z158" s="1773">
        <v>158</v>
      </c>
    </row>
    <row r="159" spans="1:26" s="289" customFormat="1" ht="12" customHeight="1">
      <c r="A159" s="1711"/>
      <c r="C159" s="1298"/>
      <c r="D159" s="2619"/>
      <c r="E159" s="312" t="s">
        <v>4087</v>
      </c>
      <c r="F159" s="312"/>
      <c r="G159" s="312"/>
      <c r="I159" s="2706"/>
      <c r="K159" s="312"/>
      <c r="L159" s="312"/>
      <c r="M159" s="312"/>
      <c r="P159" s="298"/>
      <c r="Z159" s="1773">
        <v>159</v>
      </c>
    </row>
    <row r="160" spans="1:26" s="289" customFormat="1" ht="6" customHeight="1">
      <c r="A160" s="1711"/>
      <c r="B160" s="1711"/>
      <c r="C160" s="2619"/>
      <c r="D160" s="2619"/>
      <c r="E160" s="2619"/>
      <c r="F160" s="2630"/>
      <c r="N160" s="2629"/>
      <c r="O160" s="2629"/>
      <c r="P160" s="298"/>
      <c r="Z160" s="1773">
        <v>160</v>
      </c>
    </row>
    <row r="161" spans="1:26" s="289" customFormat="1" ht="12" customHeight="1">
      <c r="A161" s="1711"/>
      <c r="B161" s="1711" t="s">
        <v>2021</v>
      </c>
      <c r="C161" s="1298" t="s">
        <v>4085</v>
      </c>
      <c r="D161" s="2619"/>
      <c r="E161" s="2619"/>
      <c r="F161" s="2630"/>
      <c r="I161" s="2696"/>
      <c r="N161" s="2629"/>
      <c r="O161" s="2629"/>
      <c r="P161" s="298"/>
      <c r="Z161" s="1773">
        <v>161</v>
      </c>
    </row>
    <row r="162" spans="1:26" s="289" customFormat="1" ht="9" customHeight="1">
      <c r="A162" s="1711"/>
      <c r="B162" s="1711"/>
      <c r="C162" s="2619"/>
      <c r="D162" s="2619"/>
      <c r="E162" s="2619"/>
      <c r="F162" s="2630"/>
      <c r="G162" s="2630"/>
      <c r="H162" s="2630"/>
      <c r="I162" s="2630"/>
      <c r="J162" s="305"/>
      <c r="K162" s="2630"/>
      <c r="L162" s="2630"/>
      <c r="N162" s="2629"/>
      <c r="O162" s="2629"/>
      <c r="Z162" s="1773">
        <v>162</v>
      </c>
    </row>
    <row r="163" spans="1:26" s="289" customFormat="1" ht="13.35" customHeight="1">
      <c r="A163" s="315" t="s">
        <v>1648</v>
      </c>
      <c r="B163" s="313" t="s">
        <v>1145</v>
      </c>
      <c r="D163" s="313"/>
      <c r="E163" s="313"/>
      <c r="F163" s="313"/>
      <c r="G163" s="2630"/>
      <c r="H163" s="2630"/>
      <c r="I163" s="2630"/>
      <c r="J163" s="305"/>
      <c r="K163" s="2630"/>
      <c r="L163" s="2630"/>
      <c r="N163" s="2629"/>
      <c r="O163" s="2629"/>
      <c r="P163" s="3184" t="s">
        <v>1714</v>
      </c>
      <c r="Z163" s="1773">
        <v>163</v>
      </c>
    </row>
    <row r="164" spans="1:26" s="289" customFormat="1" ht="6" customHeight="1">
      <c r="A164" s="315"/>
      <c r="B164" s="1711"/>
      <c r="C164" s="1298"/>
      <c r="D164" s="1298"/>
      <c r="E164" s="1298"/>
      <c r="F164" s="1298"/>
      <c r="G164" s="2630"/>
      <c r="H164" s="2630"/>
      <c r="I164" s="2630"/>
      <c r="J164" s="305"/>
      <c r="K164" s="2630"/>
      <c r="L164" s="2630"/>
      <c r="N164" s="2629"/>
      <c r="O164" s="2629"/>
      <c r="P164" s="3184"/>
      <c r="Z164" s="1773">
        <v>164</v>
      </c>
    </row>
    <row r="165" spans="1:26" s="289" customFormat="1" ht="13.35" customHeight="1">
      <c r="A165" s="1711"/>
      <c r="B165" s="1711" t="s">
        <v>1893</v>
      </c>
      <c r="C165" s="304" t="s">
        <v>1737</v>
      </c>
      <c r="F165" s="2630"/>
      <c r="G165" s="2630"/>
      <c r="H165" s="2630"/>
      <c r="I165" s="2630"/>
      <c r="J165" s="305"/>
      <c r="K165" s="2630"/>
      <c r="L165" s="2630"/>
      <c r="N165" s="2629"/>
      <c r="O165" s="2629"/>
      <c r="P165" s="3184"/>
      <c r="Z165" s="1773">
        <v>165</v>
      </c>
    </row>
    <row r="166" spans="1:26" s="289" customFormat="1" ht="12.6" customHeight="1">
      <c r="A166" s="1711"/>
      <c r="B166" s="1711"/>
      <c r="C166" s="312" t="s">
        <v>1466</v>
      </c>
      <c r="D166" s="305"/>
      <c r="E166" s="305"/>
      <c r="F166" s="2630"/>
      <c r="G166" s="2630"/>
      <c r="H166" s="2630"/>
      <c r="I166" s="2705" t="s">
        <v>2772</v>
      </c>
      <c r="N166" s="2629"/>
      <c r="O166" s="2629"/>
      <c r="P166" s="3185"/>
      <c r="Z166" s="1773">
        <v>166</v>
      </c>
    </row>
    <row r="167" spans="1:26" s="289" customFormat="1" ht="12.6" customHeight="1">
      <c r="A167" s="1711"/>
      <c r="B167" s="1711"/>
      <c r="C167" s="469" t="s">
        <v>6303</v>
      </c>
      <c r="D167" s="842"/>
      <c r="E167" s="842"/>
      <c r="F167" s="842"/>
      <c r="I167" s="289" t="s">
        <v>3963</v>
      </c>
      <c r="K167" s="469"/>
      <c r="L167" s="469"/>
      <c r="N167" s="2689"/>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7"/>
      <c r="P168" s="1258">
        <f>IF('Part VI-Revenues &amp; Expenses'!$P$65=0,0,N168/'Part VI-Revenues &amp; Expenses'!$P$65)</f>
        <v>0</v>
      </c>
      <c r="Z168" s="1773">
        <v>168</v>
      </c>
    </row>
    <row r="169" spans="1:26" s="289" customFormat="1" ht="12" customHeight="1">
      <c r="A169" s="1711"/>
      <c r="B169" s="1711"/>
      <c r="C169" s="312" t="s">
        <v>6304</v>
      </c>
      <c r="D169" s="305"/>
      <c r="E169" s="305"/>
      <c r="F169" s="2630"/>
      <c r="G169" s="2630"/>
      <c r="H169" s="2630"/>
      <c r="I169" s="2705"/>
      <c r="J169" s="2621" t="s">
        <v>6305</v>
      </c>
      <c r="N169" s="2688"/>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7"/>
      <c r="E171" s="3138"/>
      <c r="F171" s="3138"/>
      <c r="G171" s="3138"/>
      <c r="H171" s="3139"/>
      <c r="I171" s="2621" t="s">
        <v>3928</v>
      </c>
      <c r="N171" s="3134"/>
      <c r="O171" s="3135"/>
      <c r="P171" s="3136"/>
      <c r="Z171" s="1773">
        <v>171</v>
      </c>
    </row>
    <row r="172" spans="1:26" s="289" customFormat="1" ht="12.6" customHeight="1">
      <c r="A172" s="1711"/>
      <c r="B172" s="1711"/>
      <c r="C172" s="2621" t="s">
        <v>3929</v>
      </c>
      <c r="D172" s="3154"/>
      <c r="E172" s="3155"/>
      <c r="F172" s="3160"/>
      <c r="G172" s="3155"/>
      <c r="H172" s="3156"/>
      <c r="I172" s="2628" t="s">
        <v>1716</v>
      </c>
      <c r="J172" s="3137"/>
      <c r="K172" s="3138"/>
      <c r="L172" s="3139"/>
      <c r="M172" s="1247" t="s">
        <v>1890</v>
      </c>
      <c r="N172" s="3154"/>
      <c r="O172" s="3155"/>
      <c r="P172" s="3156"/>
      <c r="Z172" s="1773">
        <v>172</v>
      </c>
    </row>
    <row r="173" spans="1:26" s="289" customFormat="1" ht="12.6" customHeight="1">
      <c r="A173" s="1711"/>
      <c r="B173" s="1711"/>
      <c r="C173" s="2621" t="s">
        <v>588</v>
      </c>
      <c r="D173" s="3154"/>
      <c r="E173" s="3156"/>
      <c r="F173" s="1245" t="s">
        <v>2128</v>
      </c>
      <c r="G173" s="3143"/>
      <c r="H173" s="3144"/>
      <c r="I173" s="321" t="s">
        <v>1719</v>
      </c>
      <c r="J173" s="3140"/>
      <c r="K173" s="3141"/>
      <c r="L173" s="3142"/>
      <c r="M173" s="1246" t="s">
        <v>1889</v>
      </c>
      <c r="N173" s="3140"/>
      <c r="O173" s="3141"/>
      <c r="P173" s="3142"/>
      <c r="Z173" s="1773">
        <v>173</v>
      </c>
    </row>
    <row r="174" spans="1:26" s="289" customFormat="1" ht="12.6" customHeight="1">
      <c r="A174" s="1711"/>
      <c r="B174" s="1711"/>
      <c r="C174" s="289" t="s">
        <v>2553</v>
      </c>
      <c r="D174" s="3157"/>
      <c r="E174" s="3158"/>
      <c r="F174" s="3158"/>
      <c r="G174" s="3158"/>
      <c r="H174" s="3159"/>
      <c r="I174" s="321" t="s">
        <v>1718</v>
      </c>
      <c r="J174" s="3151"/>
      <c r="K174" s="3152"/>
      <c r="L174" s="3152"/>
      <c r="M174" s="3152"/>
      <c r="N174" s="3152"/>
      <c r="O174" s="3152"/>
      <c r="P174" s="3153"/>
      <c r="Z174" s="1773">
        <v>174</v>
      </c>
    </row>
    <row r="175" spans="1:26" s="289" customFormat="1" ht="12" customHeight="1">
      <c r="A175" s="1711"/>
      <c r="B175" s="1711"/>
      <c r="C175" s="289" t="s">
        <v>3964</v>
      </c>
      <c r="E175" s="322"/>
      <c r="F175" s="322"/>
      <c r="G175" s="322"/>
      <c r="H175" s="2630"/>
      <c r="I175" s="2705"/>
      <c r="J175" s="3145" t="s">
        <v>731</v>
      </c>
      <c r="K175" s="3146"/>
      <c r="L175" s="2696"/>
      <c r="M175" s="322"/>
      <c r="N175" s="2630"/>
      <c r="O175" s="322"/>
      <c r="P175" s="322"/>
      <c r="Z175" s="1773">
        <v>175</v>
      </c>
    </row>
    <row r="176" spans="1:26" s="289" customFormat="1" ht="12" customHeight="1">
      <c r="A176" s="1711"/>
      <c r="B176" s="1711"/>
      <c r="C176" s="3150" t="s">
        <v>6523</v>
      </c>
      <c r="D176" s="3150"/>
      <c r="E176" s="3150"/>
      <c r="F176" s="3150"/>
      <c r="G176" s="3150"/>
      <c r="H176" s="3150"/>
      <c r="I176" s="3150"/>
      <c r="J176" s="3150"/>
      <c r="K176" s="842"/>
      <c r="M176" s="842"/>
      <c r="Z176" s="1773">
        <v>176</v>
      </c>
    </row>
    <row r="177" spans="1:26" s="289" customFormat="1" ht="12" customHeight="1">
      <c r="A177" s="1711"/>
      <c r="B177" s="1711"/>
      <c r="C177" s="3150"/>
      <c r="D177" s="3150"/>
      <c r="E177" s="3150"/>
      <c r="F177" s="3150"/>
      <c r="G177" s="3150"/>
      <c r="H177" s="3150"/>
      <c r="I177" s="3150"/>
      <c r="J177" s="3150"/>
      <c r="K177" s="842"/>
      <c r="L177" s="2705"/>
      <c r="M177" s="842"/>
      <c r="N177" s="3218" t="s">
        <v>731</v>
      </c>
      <c r="O177" s="3146"/>
      <c r="P177" s="2696"/>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3"/>
      <c r="J179" s="3219" t="s">
        <v>731</v>
      </c>
      <c r="K179" s="3220"/>
      <c r="L179" s="2693"/>
      <c r="M179" s="3147" t="s">
        <v>2222</v>
      </c>
      <c r="N179" s="3148"/>
      <c r="O179" s="3149"/>
      <c r="P179" s="2708"/>
      <c r="Z179" s="1773">
        <v>179</v>
      </c>
    </row>
    <row r="180" spans="1:26" s="289" customFormat="1" ht="12.6" customHeight="1">
      <c r="A180" s="1711"/>
      <c r="B180" s="1711"/>
      <c r="C180" s="1662" t="s">
        <v>2552</v>
      </c>
      <c r="D180" s="1662"/>
      <c r="E180" s="1662"/>
      <c r="F180" s="1662"/>
      <c r="G180" s="1662"/>
      <c r="I180" s="2694" t="s">
        <v>2769</v>
      </c>
      <c r="J180" s="3219" t="s">
        <v>731</v>
      </c>
      <c r="K180" s="3220"/>
      <c r="L180" s="2694">
        <v>2053</v>
      </c>
      <c r="M180" s="3147" t="s">
        <v>2222</v>
      </c>
      <c r="N180" s="3148"/>
      <c r="O180" s="3149"/>
      <c r="P180" s="2709">
        <v>15</v>
      </c>
      <c r="Z180" s="1773">
        <v>180</v>
      </c>
    </row>
    <row r="181" spans="1:26" s="289" customFormat="1" ht="6" customHeight="1">
      <c r="A181" s="1711"/>
      <c r="B181" s="1711"/>
      <c r="C181" s="1662"/>
      <c r="D181" s="1662"/>
      <c r="E181" s="291"/>
      <c r="F181" s="1662"/>
      <c r="G181" s="1662"/>
      <c r="J181" s="2629"/>
      <c r="K181" s="361"/>
      <c r="M181" s="2629"/>
      <c r="O181" s="2630"/>
      <c r="P181" s="298"/>
      <c r="Z181" s="1773">
        <v>181</v>
      </c>
    </row>
    <row r="182" spans="1:26" s="289" customFormat="1" ht="12.6" customHeight="1">
      <c r="A182" s="1711"/>
      <c r="B182" s="1711" t="s">
        <v>719</v>
      </c>
      <c r="C182" s="1662" t="s">
        <v>1677</v>
      </c>
      <c r="D182" s="1662"/>
      <c r="E182" s="1662"/>
      <c r="F182" s="1662"/>
      <c r="G182" s="1662"/>
      <c r="I182" s="2685" t="s">
        <v>2772</v>
      </c>
      <c r="L182" s="166"/>
      <c r="M182" s="166"/>
      <c r="P182" s="298"/>
      <c r="Z182" s="1773">
        <v>182</v>
      </c>
    </row>
    <row r="183" spans="1:26" s="289" customFormat="1" ht="1.5" customHeight="1">
      <c r="A183" s="1711"/>
      <c r="B183" s="1711"/>
      <c r="C183" s="2621"/>
      <c r="E183" s="322"/>
      <c r="F183" s="322"/>
      <c r="G183" s="322"/>
      <c r="I183" s="322"/>
      <c r="J183" s="322"/>
      <c r="K183" s="2630"/>
      <c r="L183" s="322"/>
      <c r="M183" s="322"/>
      <c r="N183" s="2630"/>
      <c r="O183" s="322"/>
      <c r="P183" s="322"/>
      <c r="Z183" s="1773">
        <v>183</v>
      </c>
    </row>
    <row r="184" spans="1:26" s="27" customFormat="1" ht="13.5">
      <c r="B184" s="1711" t="s">
        <v>2021</v>
      </c>
      <c r="C184" s="2710" t="s">
        <v>6801</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1" t="s">
        <v>1896</v>
      </c>
      <c r="D185" s="267" t="s">
        <v>6488</v>
      </c>
      <c r="E185" s="307"/>
      <c r="F185" s="1613"/>
      <c r="G185" s="1613"/>
      <c r="H185" s="1613"/>
      <c r="I185" s="481"/>
      <c r="J185" s="481"/>
      <c r="K185" s="481"/>
      <c r="L185" s="2712" t="s">
        <v>2772</v>
      </c>
      <c r="M185" s="267" t="s">
        <v>6489</v>
      </c>
      <c r="N185" s="1613"/>
      <c r="O185" s="3214"/>
      <c r="P185" s="3215"/>
      <c r="Z185" s="1773">
        <v>185</v>
      </c>
    </row>
    <row r="186" spans="1:26" s="27" customFormat="1" ht="12" customHeight="1">
      <c r="B186" s="325"/>
      <c r="C186" s="2711" t="s">
        <v>1898</v>
      </c>
      <c r="D186" s="267" t="s">
        <v>6618</v>
      </c>
      <c r="E186" s="307"/>
      <c r="F186" s="1613"/>
      <c r="G186" s="1613"/>
      <c r="H186" s="1613"/>
      <c r="I186" s="481"/>
      <c r="J186" s="481"/>
      <c r="K186" s="481"/>
      <c r="L186" s="2713" t="s">
        <v>2772</v>
      </c>
      <c r="M186" s="267" t="s">
        <v>6489</v>
      </c>
      <c r="N186" s="1613"/>
      <c r="O186" s="3216"/>
      <c r="P186" s="3217"/>
      <c r="Z186" s="1773">
        <v>186</v>
      </c>
    </row>
    <row r="187" spans="1:26" s="27" customFormat="1" ht="12" customHeight="1">
      <c r="B187" s="325"/>
      <c r="C187" s="2711" t="s">
        <v>2416</v>
      </c>
      <c r="D187" s="267" t="s">
        <v>6490</v>
      </c>
      <c r="E187" s="307"/>
      <c r="F187" s="1613"/>
      <c r="G187" s="1613"/>
      <c r="H187" s="1613"/>
      <c r="I187" s="481"/>
      <c r="J187" s="481"/>
      <c r="K187" s="481"/>
      <c r="L187" s="2714" t="s">
        <v>2772</v>
      </c>
      <c r="M187" s="267" t="s">
        <v>6489</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10" t="s">
        <v>6804</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3">
        <v>190</v>
      </c>
    </row>
    <row r="191" spans="1:26" s="27" customFormat="1" ht="12.75" customHeight="1">
      <c r="A191" s="2718"/>
      <c r="B191" s="2719"/>
      <c r="C191" s="2720" t="s">
        <v>6791</v>
      </c>
      <c r="D191" s="2721"/>
      <c r="E191" s="2721"/>
      <c r="F191" s="2721"/>
      <c r="G191" s="307"/>
      <c r="H191" s="3253" t="s">
        <v>6806</v>
      </c>
      <c r="I191" s="3254"/>
      <c r="J191" s="3241" t="s">
        <v>6790</v>
      </c>
      <c r="K191" s="3242"/>
      <c r="L191" s="3234" t="s">
        <v>6789</v>
      </c>
      <c r="M191" s="3234"/>
      <c r="N191" s="3234"/>
      <c r="O191" s="3234"/>
      <c r="P191" s="3234"/>
      <c r="Z191" s="1773">
        <v>191</v>
      </c>
    </row>
    <row r="192" spans="1:26" s="27" customFormat="1">
      <c r="A192" s="2718"/>
      <c r="B192" s="166"/>
      <c r="C192" s="2722" t="s">
        <v>6802</v>
      </c>
      <c r="D192" s="2723"/>
      <c r="E192" s="2723"/>
      <c r="F192" s="2724" t="s">
        <v>6783</v>
      </c>
      <c r="G192" s="2724" t="s">
        <v>6784</v>
      </c>
      <c r="H192" s="2725" t="str">
        <f>IF($H$189="","",$H$189)</f>
        <v/>
      </c>
      <c r="I192" s="2726" t="s">
        <v>6785</v>
      </c>
      <c r="J192" s="3243"/>
      <c r="K192" s="3244"/>
      <c r="L192" s="3235"/>
      <c r="M192" s="3235"/>
      <c r="N192" s="3235"/>
      <c r="O192" s="3235"/>
      <c r="P192" s="3235"/>
      <c r="R192" s="307"/>
      <c r="S192" s="307"/>
      <c r="T192" s="307"/>
      <c r="U192" s="307"/>
      <c r="V192" s="307"/>
      <c r="Z192" s="1773">
        <v>192</v>
      </c>
    </row>
    <row r="193" spans="1:26" s="27" customFormat="1" ht="12" customHeight="1">
      <c r="A193" s="2727"/>
      <c r="B193" s="325"/>
      <c r="C193" s="166" t="s">
        <v>6786</v>
      </c>
      <c r="D193" s="359"/>
      <c r="E193" s="2634"/>
      <c r="F193" s="2728"/>
      <c r="G193" s="2728"/>
      <c r="H193" s="2729"/>
      <c r="I193" s="2729"/>
      <c r="J193" s="3248"/>
      <c r="K193" s="3249"/>
      <c r="L193" s="3250"/>
      <c r="M193" s="3251"/>
      <c r="N193" s="3251"/>
      <c r="O193" s="3251"/>
      <c r="P193" s="3252"/>
      <c r="R193" s="307"/>
      <c r="S193" s="307"/>
      <c r="T193" s="307"/>
      <c r="U193" s="307"/>
      <c r="V193" s="307"/>
      <c r="Z193" s="1773">
        <v>193</v>
      </c>
    </row>
    <row r="194" spans="1:26" s="27" customFormat="1" ht="12" customHeight="1">
      <c r="A194" s="2730"/>
      <c r="B194" s="325"/>
      <c r="C194" s="166" t="s">
        <v>6787</v>
      </c>
      <c r="D194" s="359"/>
      <c r="E194" s="2634"/>
      <c r="F194" s="2731"/>
      <c r="G194" s="2731"/>
      <c r="H194" s="2732"/>
      <c r="I194" s="2732"/>
      <c r="J194" s="3239"/>
      <c r="K194" s="3240"/>
      <c r="L194" s="3236"/>
      <c r="M194" s="3237"/>
      <c r="N194" s="3237"/>
      <c r="O194" s="3237"/>
      <c r="P194" s="3238"/>
      <c r="R194" s="307"/>
      <c r="S194" s="307"/>
      <c r="T194" s="307"/>
      <c r="U194" s="307"/>
      <c r="V194" s="307"/>
      <c r="Z194" s="1773">
        <v>194</v>
      </c>
    </row>
    <row r="195" spans="1:26" s="27" customFormat="1" ht="12" customHeight="1">
      <c r="A195" s="2730"/>
      <c r="B195" s="325"/>
      <c r="C195" s="166" t="s">
        <v>6491</v>
      </c>
      <c r="D195" s="166"/>
      <c r="E195" s="289"/>
      <c r="F195" s="2731"/>
      <c r="G195" s="2731"/>
      <c r="H195" s="2732"/>
      <c r="I195" s="2732"/>
      <c r="J195" s="3239"/>
      <c r="K195" s="3240"/>
      <c r="L195" s="3236"/>
      <c r="M195" s="3237"/>
      <c r="N195" s="3237"/>
      <c r="O195" s="3237"/>
      <c r="P195" s="3238"/>
      <c r="R195" s="307"/>
      <c r="S195" s="307"/>
      <c r="T195" s="307"/>
      <c r="U195" s="307"/>
      <c r="V195" s="307"/>
      <c r="Z195" s="1773">
        <v>195</v>
      </c>
    </row>
    <row r="196" spans="1:26" s="27" customFormat="1" ht="12" customHeight="1">
      <c r="A196" s="2730"/>
      <c r="B196" s="325"/>
      <c r="C196" s="166" t="s">
        <v>6788</v>
      </c>
      <c r="D196" s="166"/>
      <c r="E196" s="289"/>
      <c r="F196" s="2731"/>
      <c r="G196" s="2731"/>
      <c r="H196" s="2732"/>
      <c r="I196" s="2732"/>
      <c r="J196" s="3239"/>
      <c r="K196" s="3240"/>
      <c r="L196" s="3236"/>
      <c r="M196" s="3237"/>
      <c r="N196" s="3237"/>
      <c r="O196" s="3237"/>
      <c r="P196" s="3238"/>
      <c r="R196" s="307"/>
      <c r="S196" s="307"/>
      <c r="T196" s="307"/>
      <c r="U196" s="307"/>
      <c r="V196" s="307"/>
      <c r="Z196" s="1773">
        <v>196</v>
      </c>
    </row>
    <row r="197" spans="1:26" s="27" customFormat="1" ht="12" customHeight="1">
      <c r="A197" s="2733"/>
      <c r="B197" s="325"/>
      <c r="C197" s="3245" t="s">
        <v>6803</v>
      </c>
      <c r="D197" s="3246"/>
      <c r="E197" s="3247"/>
      <c r="F197" s="2734"/>
      <c r="G197" s="2734"/>
      <c r="H197" s="2735"/>
      <c r="I197" s="2735"/>
      <c r="J197" s="3255"/>
      <c r="K197" s="3256"/>
      <c r="L197" s="3257"/>
      <c r="M197" s="3258"/>
      <c r="N197" s="3258"/>
      <c r="O197" s="3258"/>
      <c r="P197" s="3259"/>
      <c r="R197" s="307"/>
      <c r="S197" s="307"/>
      <c r="T197" s="307"/>
      <c r="U197" s="307"/>
      <c r="V197" s="307"/>
      <c r="Z197" s="1773">
        <v>197</v>
      </c>
    </row>
    <row r="198" spans="1:26" s="27" customFormat="1" ht="13.5" customHeight="1">
      <c r="A198" s="2733"/>
      <c r="B198" s="489" t="s">
        <v>6805</v>
      </c>
      <c r="C198" s="287"/>
      <c r="D198" s="287"/>
      <c r="E198" s="2736"/>
      <c r="F198" s="2737"/>
      <c r="G198" s="2738"/>
      <c r="H198" s="2739"/>
      <c r="I198" s="2740"/>
      <c r="J198" s="2741"/>
      <c r="K198" s="2741"/>
      <c r="L198" s="2741"/>
      <c r="M198" s="2741"/>
      <c r="N198" s="2742"/>
      <c r="O198" s="2742"/>
      <c r="P198" s="2743"/>
      <c r="Z198" s="1773">
        <v>198</v>
      </c>
    </row>
    <row r="199" spans="1:26" s="27" customFormat="1" ht="22.5" customHeight="1">
      <c r="A199" s="2733"/>
      <c r="B199" s="3225"/>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3"/>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4"/>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30"/>
      <c r="J203" s="297"/>
      <c r="K203" s="305"/>
      <c r="M203" s="2629"/>
      <c r="O203" s="2630"/>
      <c r="P203" s="298"/>
      <c r="Z203" s="1773">
        <v>203</v>
      </c>
    </row>
    <row r="204" spans="1:26" s="289" customFormat="1" ht="12.6" customHeight="1">
      <c r="A204" s="1711"/>
      <c r="B204" s="1711"/>
      <c r="C204" s="2629" t="s">
        <v>2111</v>
      </c>
      <c r="D204" s="299"/>
      <c r="E204" s="2629"/>
      <c r="F204" s="2629"/>
      <c r="I204" s="2745" t="s">
        <v>2772</v>
      </c>
      <c r="L204" s="2629" t="s">
        <v>1544</v>
      </c>
      <c r="M204" s="2629"/>
      <c r="N204" s="2629"/>
      <c r="P204" s="2745" t="s">
        <v>2769</v>
      </c>
      <c r="Z204" s="1773">
        <v>204</v>
      </c>
    </row>
    <row r="205" spans="1:26" s="289" customFormat="1" ht="12.6" customHeight="1">
      <c r="A205" s="1711"/>
      <c r="B205" s="1711"/>
      <c r="C205" s="2629" t="s">
        <v>2112</v>
      </c>
      <c r="I205" s="2703" t="s">
        <v>2772</v>
      </c>
      <c r="L205" s="2629" t="s">
        <v>6545</v>
      </c>
      <c r="M205" s="2629"/>
      <c r="N205" s="2629"/>
      <c r="P205" s="2703" t="s">
        <v>2772</v>
      </c>
      <c r="Z205" s="1773">
        <v>205</v>
      </c>
    </row>
    <row r="206" spans="1:26" s="289" customFormat="1" ht="12.6" customHeight="1">
      <c r="A206" s="1711"/>
      <c r="C206" s="2629" t="s">
        <v>2567</v>
      </c>
      <c r="I206" s="2703" t="s">
        <v>2772</v>
      </c>
      <c r="L206" s="2629" t="s">
        <v>2541</v>
      </c>
      <c r="N206" s="3190"/>
      <c r="O206" s="3191"/>
      <c r="P206" s="2703" t="s">
        <v>2772</v>
      </c>
      <c r="Z206" s="1773">
        <v>206</v>
      </c>
    </row>
    <row r="207" spans="1:26" s="289" customFormat="1" ht="12.6" customHeight="1">
      <c r="A207" s="1711"/>
      <c r="B207" s="1711"/>
      <c r="C207" s="2629" t="s">
        <v>1237</v>
      </c>
      <c r="D207" s="324"/>
      <c r="I207" s="2703" t="s">
        <v>2772</v>
      </c>
      <c r="K207" s="299"/>
      <c r="L207" s="2629" t="s">
        <v>3207</v>
      </c>
      <c r="M207" s="2629"/>
      <c r="N207" s="2629"/>
      <c r="P207" s="2703" t="s">
        <v>2772</v>
      </c>
      <c r="Z207" s="1773">
        <v>207</v>
      </c>
    </row>
    <row r="208" spans="1:26" s="289" customFormat="1" ht="12.6" customHeight="1">
      <c r="A208" s="1711"/>
      <c r="B208" s="291"/>
      <c r="C208" s="2629" t="s">
        <v>4127</v>
      </c>
      <c r="I208" s="2703" t="s">
        <v>2772</v>
      </c>
      <c r="J208" s="323" t="s">
        <v>2585</v>
      </c>
      <c r="O208" s="3192"/>
      <c r="P208" s="3193"/>
      <c r="Z208" s="1773">
        <v>208</v>
      </c>
    </row>
    <row r="209" spans="1:26" s="289" customFormat="1" ht="12.6" customHeight="1">
      <c r="A209" s="1711"/>
      <c r="B209" s="291"/>
      <c r="C209" s="2629" t="s">
        <v>1723</v>
      </c>
      <c r="I209" s="2703" t="s">
        <v>2772</v>
      </c>
      <c r="J209" s="323" t="s">
        <v>2585</v>
      </c>
      <c r="O209" s="3208"/>
      <c r="P209" s="3209"/>
      <c r="Z209" s="1773">
        <v>209</v>
      </c>
    </row>
    <row r="210" spans="1:26" s="289" customFormat="1" ht="12.6" customHeight="1">
      <c r="A210" s="1711"/>
      <c r="B210" s="1711"/>
      <c r="C210" s="2629" t="s">
        <v>2690</v>
      </c>
      <c r="I210" s="2703" t="s">
        <v>2772</v>
      </c>
      <c r="J210" s="323" t="s">
        <v>2585</v>
      </c>
      <c r="O210" s="3194"/>
      <c r="P210" s="3195"/>
      <c r="Z210" s="1773">
        <v>210</v>
      </c>
    </row>
    <row r="211" spans="1:26" s="289" customFormat="1" ht="12.6" customHeight="1">
      <c r="A211" s="1711"/>
      <c r="B211" s="1711"/>
      <c r="C211" s="289" t="s">
        <v>6400</v>
      </c>
      <c r="I211" s="2706"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2192</v>
      </c>
      <c r="I215" s="3206">
        <v>45170</v>
      </c>
      <c r="J215" s="3207"/>
      <c r="Z215" s="1773">
        <v>215</v>
      </c>
    </row>
    <row r="216" spans="1:26" s="289" customFormat="1" ht="2.25" customHeight="1">
      <c r="B216" s="291"/>
      <c r="C216" s="2629"/>
      <c r="H216" s="2629"/>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8" t="s">
        <v>6875</v>
      </c>
      <c r="B218" s="3199"/>
      <c r="C218" s="3199"/>
      <c r="D218" s="3199"/>
      <c r="E218" s="3199"/>
      <c r="F218" s="3199"/>
      <c r="G218" s="3199"/>
      <c r="H218" s="3199"/>
      <c r="I218" s="3199"/>
      <c r="J218" s="3199"/>
      <c r="K218" s="3199"/>
      <c r="L218" s="3200"/>
      <c r="M218" s="3201"/>
      <c r="N218" s="3202"/>
      <c r="O218" s="3202"/>
      <c r="P218" s="3203"/>
      <c r="Q218" s="3133" t="s">
        <v>2542</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6"/>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6"/>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6"/>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6"/>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6"/>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6"/>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6"/>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6"/>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6"/>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6"/>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6"/>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6"/>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6"/>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6"/>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6"/>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6"/>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6"/>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6"/>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6"/>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6"/>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6"/>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6"/>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6"/>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6"/>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6"/>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6"/>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6"/>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6"/>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6"/>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6"/>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6"/>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6"/>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6"/>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6"/>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6"/>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39"/>
      <c r="S272" s="2749"/>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6"/>
      <c r="R273" s="939"/>
      <c r="S273" s="2749"/>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6"/>
      <c r="R274" s="939"/>
      <c r="S274" s="2749"/>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6"/>
      <c r="R275" s="939"/>
      <c r="S275" s="2749"/>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6"/>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6"/>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6"/>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6"/>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6"/>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6"/>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6"/>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6"/>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6"/>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6"/>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6"/>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6"/>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6"/>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6"/>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6"/>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6"/>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6"/>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6"/>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6"/>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6"/>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6"/>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6"/>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6"/>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6"/>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6"/>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6"/>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6"/>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6"/>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6"/>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6"/>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6"/>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6"/>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6"/>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6"/>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6"/>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6"/>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6"/>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6"/>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6"/>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6"/>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6"/>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6"/>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6"/>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6"/>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6"/>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6"/>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6"/>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6"/>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6"/>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6"/>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6"/>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6"/>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6"/>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6"/>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6"/>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6"/>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6"/>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6"/>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6"/>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6"/>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6"/>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6"/>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6"/>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6"/>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6"/>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6"/>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6"/>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6"/>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6"/>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6"/>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6"/>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6"/>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6"/>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6"/>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6"/>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6"/>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6"/>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6"/>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6"/>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6"/>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6"/>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6"/>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6"/>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6"/>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6"/>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6"/>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6"/>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6"/>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6"/>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6"/>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6"/>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6"/>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6"/>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6"/>
      <c r="R385" s="939"/>
      <c r="S385" s="2749"/>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6"/>
      <c r="R386" s="939"/>
      <c r="S386" s="2749"/>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6"/>
      <c r="R387" s="939"/>
      <c r="S387" s="2749"/>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9"/>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7"/>
      <c r="R389" s="939"/>
      <c r="S389" s="2749"/>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9"/>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9"/>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8"/>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8"/>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8"/>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8"/>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8"/>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2442</v>
      </c>
      <c r="S646" s="2749" t="s">
        <v>598</v>
      </c>
      <c r="T646" s="2751"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9" t="s">
        <v>2443</v>
      </c>
      <c r="S647" s="2749" t="s">
        <v>308</v>
      </c>
      <c r="T647" s="2751"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2444</v>
      </c>
      <c r="S648" s="2749" t="s">
        <v>2371</v>
      </c>
      <c r="T648" s="2751"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2445</v>
      </c>
      <c r="S649" s="2749"/>
      <c r="T649" s="2751"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2446</v>
      </c>
      <c r="S650" s="2749" t="s">
        <v>1917</v>
      </c>
      <c r="T650" s="2751"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2447</v>
      </c>
      <c r="S651" s="2749" t="s">
        <v>2371</v>
      </c>
      <c r="T651" s="2751"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2448</v>
      </c>
      <c r="S652" s="2749" t="s">
        <v>1278</v>
      </c>
      <c r="T652" s="2751"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2449</v>
      </c>
      <c r="S653" s="2749" t="s">
        <v>1919</v>
      </c>
      <c r="T653" s="2751"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2450</v>
      </c>
      <c r="S654" s="2749" t="s">
        <v>636</v>
      </c>
      <c r="T654" s="2751"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2451</v>
      </c>
      <c r="S655" s="2749" t="s">
        <v>598</v>
      </c>
      <c r="T655" s="2751"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2452</v>
      </c>
      <c r="S656" s="2749" t="s">
        <v>2077</v>
      </c>
      <c r="T656" s="2751"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2453</v>
      </c>
      <c r="S657" s="2749" t="s">
        <v>2413</v>
      </c>
      <c r="T657" s="2751"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2142</v>
      </c>
      <c r="S658" s="2749" t="s">
        <v>2410</v>
      </c>
      <c r="T658" s="2751"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2454</v>
      </c>
      <c r="S659" s="2749" t="s">
        <v>2077</v>
      </c>
      <c r="T659" s="2751"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2455</v>
      </c>
      <c r="S660" s="2749" t="s">
        <v>2374</v>
      </c>
      <c r="T660" s="2751"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2456</v>
      </c>
      <c r="S661" s="2749" t="s">
        <v>1917</v>
      </c>
      <c r="T661" s="2751"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1005</v>
      </c>
      <c r="S662" s="2749" t="s">
        <v>1400</v>
      </c>
      <c r="T662" s="2751"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9" t="s">
        <v>870</v>
      </c>
      <c r="S663" s="2749" t="s">
        <v>1063</v>
      </c>
      <c r="T663" s="2751"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1006</v>
      </c>
      <c r="S664" s="2749" t="s">
        <v>598</v>
      </c>
      <c r="T664" s="2751"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1007</v>
      </c>
      <c r="S665" s="2749" t="s">
        <v>1822</v>
      </c>
      <c r="T665" s="2751"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9" t="s">
        <v>1008</v>
      </c>
      <c r="S666" s="2749" t="s">
        <v>1915</v>
      </c>
      <c r="T666" s="2751"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1009</v>
      </c>
      <c r="S667" s="2749" t="s">
        <v>1056</v>
      </c>
      <c r="T667" s="2751"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1010</v>
      </c>
      <c r="S668" s="2749" t="s">
        <v>1459</v>
      </c>
      <c r="T668" s="2751"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1011</v>
      </c>
      <c r="S669" s="2749" t="s">
        <v>2371</v>
      </c>
      <c r="T669" s="2751"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9" t="s">
        <v>1012</v>
      </c>
      <c r="S670" s="2749" t="s">
        <v>151</v>
      </c>
      <c r="T670" s="2751"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9" t="s">
        <v>1013</v>
      </c>
      <c r="S671" s="2749" t="s">
        <v>1285</v>
      </c>
      <c r="T671" s="2751"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1014</v>
      </c>
      <c r="S672" s="2749" t="s">
        <v>1459</v>
      </c>
      <c r="T672" s="2751"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1015</v>
      </c>
      <c r="S673" s="2749" t="s">
        <v>1070</v>
      </c>
      <c r="T673" s="2751"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1016</v>
      </c>
      <c r="S674" s="2749" t="s">
        <v>1915</v>
      </c>
      <c r="T674" s="2751"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1"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1017</v>
      </c>
      <c r="S676" s="2749" t="s">
        <v>2374</v>
      </c>
      <c r="T676" s="2751"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1541</v>
      </c>
      <c r="S677" s="2749" t="s">
        <v>2410</v>
      </c>
      <c r="T677" s="2751"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1018</v>
      </c>
      <c r="S678" s="2749"/>
      <c r="T678" s="2751"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1019</v>
      </c>
      <c r="S680" s="2749" t="s">
        <v>167</v>
      </c>
      <c r="T680" s="2751"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2182</v>
      </c>
      <c r="S681" s="2749" t="s">
        <v>1160</v>
      </c>
      <c r="T681" s="2751"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1020</v>
      </c>
      <c r="S682" s="2749" t="s">
        <v>598</v>
      </c>
      <c r="T682" s="2751"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1021</v>
      </c>
      <c r="S683" s="2749" t="s">
        <v>598</v>
      </c>
      <c r="T683" s="2751"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1022</v>
      </c>
      <c r="S684" s="2749" t="s">
        <v>598</v>
      </c>
      <c r="T684" s="2751"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1023</v>
      </c>
      <c r="S685" s="2749" t="s">
        <v>598</v>
      </c>
      <c r="T685" s="2751"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1024</v>
      </c>
      <c r="S686" s="2749" t="s">
        <v>1595</v>
      </c>
      <c r="T686" s="2751"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1025</v>
      </c>
      <c r="S687" s="2749" t="s">
        <v>919</v>
      </c>
      <c r="T687" s="2751"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1026</v>
      </c>
      <c r="S688" s="2749" t="s">
        <v>115</v>
      </c>
      <c r="T688" s="2751"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9" t="s">
        <v>1027</v>
      </c>
      <c r="S689" s="2749" t="s">
        <v>598</v>
      </c>
      <c r="T689" s="2751"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1028</v>
      </c>
      <c r="S690" s="2749" t="s">
        <v>305</v>
      </c>
      <c r="T690" s="2751"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1029</v>
      </c>
      <c r="S691" s="2749" t="s">
        <v>309</v>
      </c>
      <c r="T691" s="2751"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799</v>
      </c>
      <c r="S692" s="2749" t="s">
        <v>1264</v>
      </c>
      <c r="T692" s="2751"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1030</v>
      </c>
      <c r="S693" s="2749" t="s">
        <v>636</v>
      </c>
      <c r="T693" s="2751"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1031</v>
      </c>
      <c r="S694" s="2749" t="s">
        <v>1459</v>
      </c>
      <c r="T694" s="2751"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1032</v>
      </c>
      <c r="S695" s="2749" t="s">
        <v>598</v>
      </c>
      <c r="T695" s="2751"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1033</v>
      </c>
      <c r="S696" s="2749" t="s">
        <v>628</v>
      </c>
      <c r="T696" s="2751"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1034</v>
      </c>
      <c r="S697" s="2749" t="s">
        <v>151</v>
      </c>
      <c r="T697" s="2751"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1035</v>
      </c>
      <c r="S698" s="2749" t="s">
        <v>1822</v>
      </c>
      <c r="T698" s="2751"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9" t="s">
        <v>1036</v>
      </c>
      <c r="S699" s="2749" t="s">
        <v>1915</v>
      </c>
      <c r="T699" s="2751"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1037</v>
      </c>
      <c r="S700" s="2749" t="s">
        <v>598</v>
      </c>
      <c r="T700" s="2751"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1038</v>
      </c>
      <c r="S701" s="2749" t="s">
        <v>1595</v>
      </c>
      <c r="T701" s="2751"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9" t="s">
        <v>1039</v>
      </c>
      <c r="S702" s="2749" t="s">
        <v>2374</v>
      </c>
      <c r="T702" s="2751"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1040</v>
      </c>
      <c r="S703" s="2749" t="s">
        <v>151</v>
      </c>
      <c r="T703" s="2751"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1041</v>
      </c>
      <c r="S704" s="2749" t="s">
        <v>151</v>
      </c>
      <c r="T704" s="2751"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4rRJum5DFUZQteML403hbJPvv1VHxjON5Gv5LIjqLycJ1ukpin3bee/ncVcsXkxdhQ2T8qsnY4Mr9wl/7B5pXQ==" saltValue="xkjq44u7SjXZDqMWVGulR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7" t="str">
        <f>CONCATENATE('Sensitivity Analysis'!E8,"  ",'Sensitivity Analysis'!C8)</f>
        <v>2021-041  Hunters Haven</v>
      </c>
      <c r="B1" s="4477"/>
      <c r="C1" s="4477"/>
      <c r="D1" s="4477"/>
      <c r="E1" s="4477"/>
      <c r="F1" s="4477"/>
      <c r="G1" s="4477"/>
      <c r="H1" s="4477"/>
    </row>
    <row r="3" spans="1:13" ht="12" customHeight="1">
      <c r="A3" s="4478" t="s">
        <v>3225</v>
      </c>
      <c r="B3" s="4478"/>
      <c r="C3" s="4478"/>
      <c r="D3" s="4478"/>
      <c r="E3" s="4478"/>
      <c r="F3" s="4478"/>
      <c r="G3" s="4478"/>
      <c r="H3" s="4478"/>
      <c r="I3" s="1097"/>
      <c r="J3" s="4480" t="s">
        <v>3611</v>
      </c>
      <c r="K3" s="4480"/>
      <c r="L3" s="735"/>
      <c r="M3" s="735"/>
    </row>
    <row r="4" spans="1:13">
      <c r="J4" s="4480"/>
      <c r="K4" s="4480"/>
    </row>
    <row r="5" spans="1:13" ht="12" customHeight="1">
      <c r="A5" s="699">
        <v>1</v>
      </c>
      <c r="C5" s="699" t="s">
        <v>2859</v>
      </c>
      <c r="E5" s="717" t="str">
        <f>'Sensitivity Analysis'!H9</f>
        <v>HH Family I, LP</v>
      </c>
      <c r="J5" s="4480"/>
      <c r="K5" s="4480"/>
    </row>
    <row r="6" spans="1:13" ht="3" customHeight="1">
      <c r="H6" s="701"/>
      <c r="J6" s="4480"/>
      <c r="K6" s="4480"/>
    </row>
    <row r="7" spans="1:13" ht="12" customHeight="1">
      <c r="A7" s="699">
        <v>2</v>
      </c>
      <c r="C7" s="699" t="s">
        <v>2860</v>
      </c>
      <c r="E7" s="717" t="str">
        <f>'Part II-Development Team'!H7</f>
        <v>1211 Pebble Creek RD SE</v>
      </c>
      <c r="J7" s="4480"/>
      <c r="K7" s="4480"/>
    </row>
    <row r="8" spans="1:13" ht="12" customHeight="1">
      <c r="E8" s="717" t="str">
        <f>+'Part II-Development Team'!H8&amp;","&amp;" "&amp;'Part II-Development Team'!H9&amp;" "&amp;LEFT('Part II-Development Team'!J9,5)</f>
        <v>Marietta, GA 30067</v>
      </c>
      <c r="J8" s="4480"/>
      <c r="K8" s="4480"/>
    </row>
    <row r="9" spans="1:13" ht="12" customHeight="1">
      <c r="C9" s="699" t="s">
        <v>2861</v>
      </c>
      <c r="E9" s="4479">
        <f>'Part II-Development Team'!L8</f>
        <v>0</v>
      </c>
      <c r="F9" s="4479"/>
      <c r="J9" s="4480"/>
      <c r="K9" s="4480"/>
    </row>
    <row r="10" spans="1:13" ht="12" customHeight="1">
      <c r="C10" s="699" t="s">
        <v>2862</v>
      </c>
      <c r="E10" s="717" t="str">
        <f>'Part II-Development Team'!Q6</f>
        <v>Devin Blankenship</v>
      </c>
    </row>
    <row r="11" spans="1:13" ht="12" customHeight="1">
      <c r="C11" s="699" t="s">
        <v>3616</v>
      </c>
      <c r="E11" s="717" t="str">
        <f>'Part II-Development Team'!L10</f>
        <v>Devin@TalonDevelopmentLLC.com</v>
      </c>
    </row>
    <row r="12" spans="1:13" ht="12" customHeight="1">
      <c r="C12" s="699" t="s">
        <v>3612</v>
      </c>
      <c r="E12" s="1098">
        <f>'Part II-Development Team'!H10</f>
        <v>7707434124</v>
      </c>
    </row>
    <row r="13" spans="1:13" ht="12" customHeight="1">
      <c r="C13" s="699" t="s">
        <v>3615</v>
      </c>
      <c r="E13" s="1098">
        <f>'Part II-Development Team'!Q8</f>
        <v>6785928103</v>
      </c>
    </row>
    <row r="14" spans="1:13" ht="3" customHeight="1"/>
    <row r="15" spans="1:13" ht="12" customHeight="1">
      <c r="A15" s="699">
        <v>3</v>
      </c>
      <c r="C15" s="699" t="s">
        <v>2863</v>
      </c>
      <c r="E15" s="717" t="str">
        <f>'Sensitivity Analysis'!C8</f>
        <v>Hunters Haven</v>
      </c>
    </row>
    <row r="16" spans="1:13" ht="12" customHeight="1">
      <c r="C16" s="699" t="s">
        <v>2864</v>
      </c>
      <c r="E16" s="717">
        <f>'Part I-Project Information'!$F$36</f>
        <v>0</v>
      </c>
    </row>
    <row r="17" spans="1:8" ht="12" customHeight="1">
      <c r="E17" s="717" t="str">
        <f>+'Part I-Project Information'!$F$39&amp;","&amp;" GA "&amp;LEFT('Part I-Project Information'!$J$39,5)</f>
        <v>Flemington, GA 31313</v>
      </c>
    </row>
    <row r="18" spans="1:8" ht="3" customHeight="1"/>
    <row r="19" spans="1:8" ht="12" customHeight="1">
      <c r="A19" s="699">
        <v>4</v>
      </c>
      <c r="C19" s="699" t="s">
        <v>2865</v>
      </c>
      <c r="E19" s="717" t="str">
        <f>'Part II-Development Team'!H93</f>
        <v>Elmington Property Management</v>
      </c>
    </row>
    <row r="20" spans="1:8" ht="12" customHeight="1">
      <c r="C20" s="699" t="s">
        <v>2866</v>
      </c>
      <c r="E20" s="717" t="str">
        <f>'Part II-Development Team'!H94</f>
        <v>118 16th Ave S #200</v>
      </c>
    </row>
    <row r="21" spans="1:8" ht="12" customHeight="1">
      <c r="E21" s="717" t="str">
        <f>+'Part II-Development Team'!H95&amp;","&amp;" "&amp;'Part II-Development Team'!H96&amp;" "&amp;LEFT('Part II-Development Team'!L96,5)</f>
        <v>Nashville, TN 37203</v>
      </c>
    </row>
    <row r="22" spans="1:8" ht="12" customHeight="1">
      <c r="C22" s="699" t="s">
        <v>3612</v>
      </c>
      <c r="E22" s="1098">
        <f>'Part II-Development Team'!H97</f>
        <v>6154906700</v>
      </c>
    </row>
    <row r="23" spans="1:8" ht="12" customHeight="1">
      <c r="C23" s="699" t="s">
        <v>3615</v>
      </c>
      <c r="E23" s="1098">
        <f>'Part II-Development Team'!Q95</f>
        <v>6154906721</v>
      </c>
    </row>
    <row r="24" spans="1:8" ht="12" customHeight="1">
      <c r="C24" s="699" t="s">
        <v>3616</v>
      </c>
      <c r="E24" s="1098" t="str">
        <f>'Part II-Development Team'!L97</f>
        <v>bcather@elmingtonpm.com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10770000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216</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HH Family I GP, LLC</v>
      </c>
    </row>
    <row r="48" spans="1:7" ht="3" customHeight="1">
      <c r="E48" s="717"/>
    </row>
    <row r="49" spans="1:7" ht="12" customHeight="1">
      <c r="A49" s="699">
        <v>15</v>
      </c>
      <c r="C49" s="699" t="s">
        <v>3618</v>
      </c>
      <c r="E49" s="717" t="str">
        <f>'Part II-Development Team'!Q99</f>
        <v>Jeff Adams</v>
      </c>
      <c r="G49" s="717" t="str">
        <f>'Part II-Development Team'!H99</f>
        <v>Arnall Golden Gregory</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72</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1474051.4305385652</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6412</v>
      </c>
    </row>
    <row r="64" spans="1:7" ht="12" customHeight="1">
      <c r="E64" s="1107" t="s">
        <v>3227</v>
      </c>
      <c r="F64" s="1108" t="s">
        <v>3228</v>
      </c>
      <c r="G64" s="1107" t="s">
        <v>6413</v>
      </c>
    </row>
    <row r="65" spans="1:7" ht="12" customHeight="1">
      <c r="E65" s="1107" t="s">
        <v>3227</v>
      </c>
      <c r="F65" s="1108" t="s">
        <v>3228</v>
      </c>
      <c r="G65" s="1107" t="s">
        <v>6414</v>
      </c>
    </row>
    <row r="66" spans="1:7" ht="3" customHeight="1"/>
    <row r="67" spans="1:7" ht="12" customHeight="1">
      <c r="A67" s="699">
        <v>22</v>
      </c>
      <c r="C67" s="699" t="s">
        <v>2890</v>
      </c>
      <c r="E67" s="717" t="str">
        <f>'Sensitivity Analysis'!H9</f>
        <v>HH Family I,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238424</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83896</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3" t="s">
        <v>3080</v>
      </c>
      <c r="B1" s="4493"/>
      <c r="C1" s="4493"/>
      <c r="D1" s="4493"/>
      <c r="E1" s="4493"/>
      <c r="F1" s="4493"/>
      <c r="G1" s="4493"/>
      <c r="H1" s="4493"/>
      <c r="I1" s="4493"/>
      <c r="J1" s="4493"/>
    </row>
    <row r="2" spans="1:13" ht="15">
      <c r="A2" s="4493" t="str">
        <f>'Sensitivity Analysis'!E8&amp;"  "&amp;'Sensitivity Analysis'!C8</f>
        <v>2021-041  Hunters Haven</v>
      </c>
      <c r="B2" s="4493"/>
      <c r="C2" s="4493"/>
      <c r="D2" s="4493"/>
      <c r="E2" s="4493"/>
      <c r="F2" s="4493"/>
      <c r="G2" s="4493"/>
      <c r="H2" s="4493"/>
      <c r="I2" s="4493"/>
      <c r="J2" s="4493"/>
    </row>
    <row r="3" spans="1:13" ht="6" customHeight="1">
      <c r="K3" s="4480" t="s">
        <v>3611</v>
      </c>
      <c r="L3" s="4480"/>
      <c r="M3" s="4480"/>
    </row>
    <row r="4" spans="1:13" ht="12" customHeight="1">
      <c r="A4" s="704" t="s">
        <v>2898</v>
      </c>
      <c r="K4" s="4480"/>
      <c r="L4" s="4480"/>
      <c r="M4" s="4480"/>
    </row>
    <row r="5" spans="1:13" ht="12" customHeight="1">
      <c r="A5" s="699" t="s">
        <v>2899</v>
      </c>
      <c r="C5" s="705" t="str">
        <f>'Subsidy Layering Memo'!D6</f>
        <v>(Underwriter)</v>
      </c>
      <c r="I5" s="705"/>
      <c r="K5" s="4480"/>
      <c r="L5" s="4480"/>
      <c r="M5" s="4480"/>
    </row>
    <row r="6" spans="1:13" ht="6" customHeight="1">
      <c r="C6" s="636"/>
      <c r="D6" s="705"/>
      <c r="I6" s="705"/>
      <c r="K6" s="4480"/>
      <c r="L6" s="4480"/>
      <c r="M6" s="4480"/>
    </row>
    <row r="7" spans="1:13" ht="12" customHeight="1">
      <c r="A7" s="704" t="s">
        <v>2900</v>
      </c>
      <c r="C7" s="636"/>
      <c r="D7" s="705"/>
      <c r="I7" s="705"/>
      <c r="K7" s="4480"/>
      <c r="L7" s="4480"/>
      <c r="M7" s="4480"/>
    </row>
    <row r="8" spans="1:13" ht="12" customHeight="1">
      <c r="A8" s="699" t="s">
        <v>2901</v>
      </c>
      <c r="C8" s="705" t="str">
        <f>'Sensitivity Analysis'!$H$9</f>
        <v>HH Family I, LP</v>
      </c>
      <c r="I8" s="705"/>
      <c r="K8" s="4480"/>
      <c r="L8" s="4480"/>
      <c r="M8" s="4480"/>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Devin Blankenship</v>
      </c>
      <c r="G15" s="636"/>
      <c r="I15" s="705"/>
    </row>
    <row r="16" spans="1:13" ht="12" customHeight="1">
      <c r="A16" s="717" t="s">
        <v>3815</v>
      </c>
      <c r="C16" s="707" t="str">
        <f>'Part II-Development Team'!Q7</f>
        <v>Member</v>
      </c>
      <c r="G16" s="636"/>
      <c r="I16" s="705"/>
    </row>
    <row r="17" spans="1:9" ht="3" customHeight="1">
      <c r="G17" s="636"/>
      <c r="H17" s="705"/>
      <c r="I17" s="705"/>
    </row>
    <row r="18" spans="1:9" ht="12" customHeight="1">
      <c r="A18" s="699" t="s">
        <v>2905</v>
      </c>
      <c r="C18" s="707" t="str">
        <f>'Preview term'!$E$7</f>
        <v>1211 Pebble Creek RD SE</v>
      </c>
      <c r="G18" s="636"/>
      <c r="I18" s="705"/>
    </row>
    <row r="19" spans="1:9" ht="12" customHeight="1">
      <c r="C19" s="707" t="str">
        <f>'Preview term'!$E$8</f>
        <v>Marietta, GA 30067</v>
      </c>
      <c r="G19" s="636"/>
      <c r="I19" s="705"/>
    </row>
    <row r="20" spans="1:9" ht="3" customHeight="1">
      <c r="G20" s="636"/>
      <c r="H20" s="705"/>
      <c r="I20" s="705"/>
    </row>
    <row r="21" spans="1:9" ht="12" customHeight="1">
      <c r="A21" s="699" t="s">
        <v>2906</v>
      </c>
      <c r="C21" s="707" t="str">
        <f>CONCATENATE('Preview term'!E49," of  ",'Preview term'!G49)</f>
        <v>Jeff Adams of  Arnall Golden Gregory</v>
      </c>
      <c r="G21" s="636"/>
      <c r="I21" s="705"/>
    </row>
    <row r="22" spans="1:9" ht="3" customHeight="1">
      <c r="C22" s="707"/>
      <c r="G22" s="636"/>
      <c r="I22" s="705"/>
    </row>
    <row r="23" spans="1:9" ht="12" customHeight="1">
      <c r="A23" s="699" t="s">
        <v>2907</v>
      </c>
      <c r="C23" s="707">
        <f>'Preview term'!E12</f>
        <v>7707434124</v>
      </c>
      <c r="G23" s="636"/>
      <c r="I23" s="705"/>
    </row>
    <row r="24" spans="1:9" ht="3" customHeight="1">
      <c r="C24" s="707"/>
      <c r="G24" s="636"/>
      <c r="I24" s="705"/>
    </row>
    <row r="25" spans="1:9" ht="12" customHeight="1">
      <c r="A25" s="699" t="s">
        <v>2908</v>
      </c>
      <c r="C25" s="1057" t="str">
        <f>'Preview term'!E11</f>
        <v>Devin@TalonDevelopmentLLC.com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Hunters Haven</v>
      </c>
      <c r="I28" s="705"/>
    </row>
    <row r="29" spans="1:9" ht="3" customHeight="1">
      <c r="C29" s="707"/>
      <c r="I29" s="705"/>
    </row>
    <row r="30" spans="1:9" ht="12" customHeight="1">
      <c r="A30" s="699" t="s">
        <v>2911</v>
      </c>
      <c r="C30" s="707">
        <f>'Preview term'!E16</f>
        <v>0</v>
      </c>
      <c r="I30" s="705"/>
    </row>
    <row r="31" spans="1:9">
      <c r="C31" s="705" t="str">
        <f>'Preview term'!E17</f>
        <v>Flemington, GA 31313</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6415</v>
      </c>
      <c r="C39" s="4494" t="str">
        <f>_xlfn.CONCAT('Part VIII-Threshold Criteria'!K224," and ",'Part VIII-Threshold Criteria'!K225)</f>
        <v>Room and Gazebo</v>
      </c>
      <c r="D39" s="4494"/>
      <c r="E39" s="4494"/>
      <c r="F39" s="4494"/>
      <c r="G39" s="4494"/>
      <c r="H39" s="4494"/>
      <c r="I39" s="4494"/>
      <c r="J39" s="4494"/>
    </row>
    <row r="40" spans="1:10" ht="25.5" customHeight="1">
      <c r="A40" s="712" t="s">
        <v>6416</v>
      </c>
      <c r="C40" s="4494"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Covered pavilion with picnic/BBQ facilities , (Select an amenity from options provided here), (Select an amenity from options provided here),   , ,   , and  </v>
      </c>
      <c r="D40" s="4494"/>
      <c r="E40" s="4494"/>
      <c r="F40" s="4494"/>
      <c r="G40" s="4494"/>
      <c r="H40" s="4494"/>
      <c r="I40" s="4494"/>
      <c r="J40" s="4494"/>
    </row>
    <row r="41" spans="1:10" ht="3" customHeight="1">
      <c r="G41" s="636"/>
      <c r="H41" s="636"/>
      <c r="I41" s="636"/>
    </row>
    <row r="42" spans="1:10" ht="25.5" customHeight="1">
      <c r="A42" s="712" t="s">
        <v>2918</v>
      </c>
      <c r="C42" s="4495" t="s">
        <v>3229</v>
      </c>
      <c r="D42" s="4495"/>
      <c r="E42" s="4495"/>
      <c r="F42" s="4495"/>
      <c r="G42" s="4495"/>
      <c r="H42" s="4495"/>
      <c r="I42" s="4495"/>
      <c r="J42" s="4495"/>
    </row>
    <row r="43" spans="1:10" ht="3" customHeight="1">
      <c r="C43" s="510"/>
      <c r="D43" s="510"/>
      <c r="E43" s="510"/>
      <c r="F43" s="510"/>
      <c r="G43" s="510"/>
      <c r="H43" s="511"/>
      <c r="I43" s="512"/>
      <c r="J43" s="511"/>
    </row>
    <row r="44" spans="1:10" ht="12" customHeight="1">
      <c r="A44" s="699" t="s">
        <v>2919</v>
      </c>
      <c r="C44" s="574" t="str">
        <f>'Part I-Project Information'!J40</f>
        <v>Liberty</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95" t="s">
        <v>546</v>
      </c>
      <c r="D50" s="4495"/>
      <c r="E50" s="4495"/>
      <c r="F50" s="4495"/>
      <c r="G50" s="4495"/>
      <c r="H50" s="4495"/>
      <c r="I50" s="4495"/>
      <c r="J50" s="4495"/>
    </row>
    <row r="51" spans="1:10" ht="12" customHeight="1">
      <c r="C51" s="4484" t="s">
        <v>1724</v>
      </c>
      <c r="D51" s="4484"/>
      <c r="E51" s="4484"/>
      <c r="F51" s="4484"/>
      <c r="G51" s="4484"/>
      <c r="H51" s="4484"/>
      <c r="I51" s="4484"/>
      <c r="J51" s="4484"/>
    </row>
    <row r="52" spans="1:10" ht="3" customHeight="1">
      <c r="D52" s="714"/>
      <c r="E52" s="714"/>
      <c r="F52" s="714"/>
      <c r="G52" s="715"/>
      <c r="H52" s="636"/>
      <c r="I52" s="714"/>
      <c r="J52" s="714"/>
    </row>
    <row r="53" spans="1:10" ht="12" customHeight="1">
      <c r="A53" s="712" t="s">
        <v>2923</v>
      </c>
      <c r="B53" s="712"/>
      <c r="C53" s="716" t="s">
        <v>2924</v>
      </c>
      <c r="D53" s="716" t="s">
        <v>3230</v>
      </c>
      <c r="E53" s="4485"/>
      <c r="F53" s="4485"/>
      <c r="G53" s="4485"/>
      <c r="H53" s="4485"/>
      <c r="I53" s="4485"/>
      <c r="J53" s="4485"/>
    </row>
    <row r="54" spans="1:10" ht="12" customHeight="1">
      <c r="A54" s="712"/>
      <c r="B54" s="712"/>
      <c r="C54" s="712"/>
      <c r="D54" s="716" t="s">
        <v>3231</v>
      </c>
      <c r="E54" s="4486"/>
      <c r="F54" s="4486"/>
      <c r="G54" s="4486"/>
      <c r="H54" s="4486"/>
      <c r="I54" s="4486"/>
      <c r="J54" s="4486"/>
    </row>
    <row r="55" spans="1:10" ht="12" customHeight="1">
      <c r="A55" s="704" t="s">
        <v>2925</v>
      </c>
      <c r="G55" s="636"/>
      <c r="H55" s="636"/>
      <c r="I55" s="636"/>
    </row>
    <row r="56" spans="1:10" ht="18" customHeight="1">
      <c r="A56" s="699" t="s">
        <v>2926</v>
      </c>
      <c r="C56" s="706" t="str">
        <f>'Sensitivity Analysis'!C10</f>
        <v>HH Family I GP, LLC</v>
      </c>
      <c r="G56" s="636"/>
      <c r="I56" s="636"/>
    </row>
    <row r="57" spans="1:10" ht="3" customHeight="1">
      <c r="C57" s="706"/>
      <c r="G57" s="636"/>
      <c r="I57" s="636"/>
    </row>
    <row r="58" spans="1:10" ht="12" customHeight="1">
      <c r="A58" s="699" t="s">
        <v>2927</v>
      </c>
      <c r="C58" s="706" t="str">
        <f>'Sensitivity Analysis'!C11</f>
        <v>Talon HH I GP, LLC</v>
      </c>
      <c r="E58" s="706" t="str">
        <f>'Sensitivity Analysis'!E11</f>
        <v>Grove Creek HH I GP, LLC</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10770000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216</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6417</v>
      </c>
      <c r="G84" s="636"/>
    </row>
    <row r="85" spans="1:9" ht="3" customHeight="1">
      <c r="G85" s="636"/>
      <c r="H85" s="636"/>
      <c r="I85" s="636"/>
    </row>
    <row r="86" spans="1:9" ht="12" customHeight="1">
      <c r="A86" s="699" t="s">
        <v>2945</v>
      </c>
      <c r="C86" s="1636">
        <f>'Subsidy Layering Memo'!L70</f>
        <v>1474051.4305385652</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Truist Bank</v>
      </c>
      <c r="I93" s="636"/>
    </row>
    <row r="94" spans="1:9" ht="12" customHeight="1">
      <c r="C94" s="731"/>
      <c r="D94" s="636"/>
      <c r="E94" s="717" t="s">
        <v>1716</v>
      </c>
      <c r="F94" s="4487"/>
      <c r="G94" s="4487"/>
      <c r="H94" s="4487"/>
      <c r="I94" s="636"/>
    </row>
    <row r="95" spans="1:9" ht="12" customHeight="1">
      <c r="C95" s="717"/>
      <c r="D95" s="636"/>
      <c r="E95" s="717" t="s">
        <v>1892</v>
      </c>
      <c r="F95" s="4488"/>
      <c r="G95" s="4488"/>
      <c r="H95" s="4488"/>
      <c r="I95" s="636"/>
    </row>
    <row r="96" spans="1:9" ht="12" customHeight="1">
      <c r="C96" s="717"/>
      <c r="D96" s="636"/>
      <c r="E96" s="717" t="s">
        <v>1718</v>
      </c>
      <c r="F96" s="4483"/>
      <c r="G96" s="4483"/>
      <c r="H96" s="4483"/>
      <c r="I96" s="636"/>
    </row>
    <row r="97" spans="1:10" ht="12" customHeight="1">
      <c r="B97" s="708"/>
      <c r="C97" s="720" t="s">
        <v>3092</v>
      </c>
      <c r="D97" s="636" t="s">
        <v>2951</v>
      </c>
      <c r="E97" s="717" t="str">
        <f>'Part III-Sources of Funds'!E40</f>
        <v>Bellwether Enterprise</v>
      </c>
      <c r="I97" s="636"/>
    </row>
    <row r="98" spans="1:10" ht="12" customHeight="1">
      <c r="C98" s="717"/>
      <c r="D98" s="636"/>
      <c r="E98" s="717" t="s">
        <v>1716</v>
      </c>
      <c r="F98" s="4487"/>
      <c r="G98" s="4487"/>
      <c r="H98" s="4487"/>
      <c r="I98" s="636"/>
    </row>
    <row r="99" spans="1:10" ht="12" customHeight="1">
      <c r="C99" s="717"/>
      <c r="D99" s="636"/>
      <c r="E99" s="717" t="s">
        <v>1892</v>
      </c>
      <c r="F99" s="4488"/>
      <c r="G99" s="4488"/>
      <c r="H99" s="4488"/>
      <c r="I99" s="636"/>
    </row>
    <row r="100" spans="1:10" ht="12" customHeight="1">
      <c r="C100" s="717"/>
      <c r="D100" s="636"/>
      <c r="E100" s="717" t="s">
        <v>1718</v>
      </c>
      <c r="F100" s="4483"/>
      <c r="G100" s="4483"/>
      <c r="H100" s="4483"/>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89"/>
      <c r="E107" s="4489"/>
      <c r="F107" s="4489"/>
      <c r="G107" s="4489"/>
      <c r="H107" s="4489"/>
      <c r="I107" s="4489"/>
      <c r="J107" s="4490"/>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2" t="s">
        <v>6420</v>
      </c>
      <c r="F120" s="4492"/>
      <c r="G120" s="4492"/>
      <c r="H120" s="4492"/>
      <c r="I120" s="4492"/>
      <c r="J120" s="4492"/>
    </row>
    <row r="121" spans="1:10" ht="12" customHeight="1">
      <c r="C121" s="636" t="s">
        <v>2962</v>
      </c>
      <c r="D121" s="1065"/>
      <c r="E121" s="4492"/>
      <c r="F121" s="4492"/>
      <c r="G121" s="4492"/>
      <c r="H121" s="4492"/>
      <c r="I121" s="4492"/>
      <c r="J121" s="4492"/>
    </row>
    <row r="122" spans="1:10" ht="12" customHeight="1">
      <c r="C122" s="636" t="s">
        <v>2963</v>
      </c>
      <c r="D122" s="1065"/>
      <c r="E122" s="4492"/>
      <c r="F122" s="4492"/>
      <c r="G122" s="4492"/>
      <c r="H122" s="4492"/>
      <c r="I122" s="4492"/>
      <c r="J122" s="4492"/>
    </row>
    <row r="123" spans="1:10" ht="12" customHeight="1">
      <c r="C123" s="636" t="s">
        <v>2963</v>
      </c>
      <c r="D123" s="1065"/>
      <c r="E123" s="4492"/>
      <c r="F123" s="4492"/>
      <c r="G123" s="4492"/>
      <c r="H123" s="4492"/>
      <c r="I123" s="4492"/>
      <c r="J123" s="4492"/>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Talon Development Company LLC</v>
      </c>
      <c r="D132" s="706" t="str">
        <f>'Sensitivity Analysis'!K11</f>
        <v>North Grove Ventures, LLC</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768191</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Elmington Property Management</v>
      </c>
      <c r="G139" s="636"/>
      <c r="I139" s="636"/>
      <c r="J139" s="734"/>
    </row>
    <row r="140" spans="1:10" ht="3" customHeight="1">
      <c r="C140" s="706"/>
      <c r="G140" s="636"/>
      <c r="I140" s="636"/>
    </row>
    <row r="141" spans="1:10" ht="12" customHeight="1">
      <c r="A141" s="699" t="s">
        <v>2974</v>
      </c>
      <c r="C141" s="707" t="str">
        <f>C8</f>
        <v>HH Family I, LP</v>
      </c>
      <c r="G141" s="636"/>
      <c r="I141" s="705"/>
      <c r="J141" s="735"/>
    </row>
    <row r="142" spans="1:10" ht="3" customHeight="1">
      <c r="C142" s="707"/>
      <c r="G142" s="636"/>
      <c r="I142" s="705"/>
      <c r="J142" s="735"/>
    </row>
    <row r="143" spans="1:10" ht="12" customHeight="1">
      <c r="A143" s="699" t="s">
        <v>2975</v>
      </c>
      <c r="C143" s="707" t="str">
        <f>C18</f>
        <v>1211 Pebble Creek RD SE</v>
      </c>
      <c r="G143" s="636"/>
      <c r="I143" s="705"/>
      <c r="J143" s="735"/>
    </row>
    <row r="144" spans="1:10">
      <c r="C144" s="707" t="str">
        <f>C19</f>
        <v>Marietta, GA 30067</v>
      </c>
      <c r="G144" s="636"/>
      <c r="I144" s="705"/>
      <c r="J144" s="735"/>
    </row>
    <row r="145" spans="1:10" ht="3" customHeight="1">
      <c r="C145" s="736"/>
      <c r="G145" s="636"/>
      <c r="I145" s="705"/>
      <c r="J145" s="735"/>
    </row>
    <row r="146" spans="1:10" ht="12" customHeight="1">
      <c r="A146" s="699" t="s">
        <v>2976</v>
      </c>
      <c r="C146" s="707" t="str">
        <f>'Sensitivity Analysis'!H10</f>
        <v>Direct Tax Credits (fund name TBD)</v>
      </c>
      <c r="G146" s="636"/>
      <c r="I146" s="705"/>
      <c r="J146" s="734"/>
    </row>
    <row r="147" spans="1:10" ht="3" customHeight="1">
      <c r="C147" s="707"/>
      <c r="G147" s="636"/>
      <c r="I147" s="705"/>
      <c r="J147" s="735"/>
    </row>
    <row r="148" spans="1:10" ht="12" customHeight="1">
      <c r="A148" s="699" t="s">
        <v>2977</v>
      </c>
      <c r="C148" s="707" t="str">
        <f>'Sensitivity Analysis'!K10</f>
        <v>Direct Tax Credits (fund name TBD)</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1"/>
      <c r="F166" s="4481"/>
      <c r="G166" s="4481"/>
      <c r="I166" s="636"/>
    </row>
    <row r="167" spans="1:13" ht="3" customHeight="1">
      <c r="E167" s="636"/>
      <c r="G167" s="636"/>
      <c r="I167" s="636"/>
    </row>
    <row r="168" spans="1:13" ht="12" customHeight="1">
      <c r="A168" s="699" t="s">
        <v>2986</v>
      </c>
      <c r="C168" s="699" t="s">
        <v>2987</v>
      </c>
      <c r="E168" s="738">
        <f>'Preview term'!F73</f>
        <v>238424</v>
      </c>
      <c r="G168" s="636"/>
      <c r="I168" s="636"/>
    </row>
    <row r="169" spans="1:13" ht="12" customHeight="1">
      <c r="C169" s="699" t="s">
        <v>3236</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18000</v>
      </c>
      <c r="F174" s="705" t="s">
        <v>2991</v>
      </c>
      <c r="J174" s="735"/>
      <c r="K174" s="735"/>
      <c r="L174" s="735"/>
      <c r="M174" s="735"/>
    </row>
    <row r="175" spans="1:13">
      <c r="E175" s="738">
        <f>E174/12</f>
        <v>1500</v>
      </c>
      <c r="F175" s="636" t="s">
        <v>2856</v>
      </c>
    </row>
    <row r="176" spans="1:13" ht="12" customHeight="1">
      <c r="C176" s="699" t="s">
        <v>3237</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83896</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1">
        <f>'Part VIII-Threshold Criteria'!E397</f>
        <v>0</v>
      </c>
      <c r="G199" s="4491"/>
      <c r="H199" s="4491"/>
      <c r="I199" s="4491"/>
      <c r="J199" s="4491"/>
    </row>
    <row r="200" spans="1:10" ht="9" customHeight="1">
      <c r="G200" s="636"/>
      <c r="H200" s="636"/>
      <c r="I200" s="636"/>
    </row>
    <row r="201" spans="1:10" ht="12" customHeight="1">
      <c r="A201" s="740" t="s">
        <v>3081</v>
      </c>
      <c r="G201" s="636"/>
      <c r="H201" s="636"/>
      <c r="I201" s="724"/>
    </row>
    <row r="202" spans="1:10" ht="25.5" hidden="1" customHeight="1">
      <c r="A202" s="4482" t="str">
        <f>'Subsidy Layering Memo'!A105</f>
        <v>Include any reserve requirements; explain any reserves far in excess of 6 month ODR, 3 mo lease up, 1 year RR, 6 mo T&amp;I standards.</v>
      </c>
      <c r="B202" s="4482"/>
      <c r="C202" s="4482"/>
      <c r="D202" s="4482"/>
      <c r="E202" s="4482"/>
      <c r="F202" s="4482"/>
      <c r="G202" s="4482"/>
      <c r="H202" s="4482"/>
      <c r="I202" s="4482"/>
      <c r="J202" s="4482"/>
    </row>
    <row r="203" spans="1:10">
      <c r="A203" s="636"/>
      <c r="G203" s="636"/>
      <c r="H203" s="636"/>
      <c r="I203" s="636"/>
    </row>
    <row r="204" spans="1:10" s="588" customFormat="1" ht="15">
      <c r="A204" s="594" t="s">
        <v>6404</v>
      </c>
    </row>
    <row r="205" spans="1:10" s="588" customFormat="1" ht="14.25" customHeight="1">
      <c r="A205" s="44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2"/>
      <c r="C205" s="4462"/>
      <c r="D205" s="4462"/>
      <c r="E205" s="4462"/>
      <c r="F205" s="4462"/>
      <c r="G205" s="4462"/>
      <c r="H205" s="4462"/>
      <c r="I205" s="4462"/>
      <c r="J205" s="4462"/>
    </row>
    <row r="206" spans="1:10" s="588" customFormat="1" ht="14.25" customHeight="1">
      <c r="A206" s="4462"/>
      <c r="B206" s="4462"/>
      <c r="C206" s="4462"/>
      <c r="D206" s="4462"/>
      <c r="E206" s="4462"/>
      <c r="F206" s="4462"/>
      <c r="G206" s="4462"/>
      <c r="H206" s="4462"/>
      <c r="I206" s="4462"/>
      <c r="J206" s="4462"/>
    </row>
    <row r="207" spans="1:10" s="588" customFormat="1" ht="6.75" customHeight="1">
      <c r="A207" s="4462"/>
      <c r="B207" s="4462"/>
      <c r="C207" s="4462"/>
      <c r="D207" s="4462"/>
      <c r="E207" s="4462"/>
      <c r="F207" s="4462"/>
      <c r="G207" s="4462"/>
      <c r="H207" s="4462"/>
      <c r="I207" s="4462"/>
      <c r="J207" s="4462"/>
    </row>
    <row r="208" spans="1:10" s="588" customFormat="1" ht="21.75" customHeight="1">
      <c r="A208" s="4462"/>
      <c r="B208" s="4462"/>
      <c r="C208" s="4462"/>
      <c r="D208" s="4462"/>
      <c r="E208" s="4462"/>
      <c r="F208" s="4462"/>
      <c r="G208" s="4462"/>
      <c r="H208" s="4462"/>
      <c r="I208" s="4462"/>
      <c r="J208" s="4462"/>
    </row>
    <row r="209" spans="1:10" s="588" customFormat="1" ht="20.25" customHeight="1">
      <c r="A209" s="4462"/>
      <c r="B209" s="4462"/>
      <c r="C209" s="4462"/>
      <c r="D209" s="4462"/>
      <c r="E209" s="4462"/>
      <c r="F209" s="4462"/>
      <c r="G209" s="4462"/>
      <c r="H209" s="4462"/>
      <c r="I209" s="4462"/>
      <c r="J209" s="4462"/>
    </row>
    <row r="210" spans="1:10" s="588" customFormat="1" ht="54.75" customHeight="1">
      <c r="A210" s="4462"/>
      <c r="B210" s="4462"/>
      <c r="C210" s="4462"/>
      <c r="D210" s="4462"/>
      <c r="E210" s="4462"/>
      <c r="F210" s="4462"/>
      <c r="G210" s="4462"/>
      <c r="H210" s="4462"/>
      <c r="I210" s="4462"/>
      <c r="J210" s="4462"/>
    </row>
    <row r="211" spans="1:10" s="588" customFormat="1" ht="0.75" hidden="1" customHeight="1">
      <c r="A211" s="4462"/>
      <c r="B211" s="4462"/>
      <c r="C211" s="4462"/>
      <c r="D211" s="4462"/>
      <c r="E211" s="4462"/>
      <c r="F211" s="4462"/>
      <c r="G211" s="4462"/>
      <c r="H211" s="4462"/>
      <c r="I211" s="4462"/>
      <c r="J211" s="4462"/>
    </row>
    <row r="212" spans="1:10" s="588" customFormat="1" ht="3.75" hidden="1" customHeight="1">
      <c r="A212" s="4462"/>
      <c r="B212" s="4462"/>
      <c r="C212" s="4462"/>
      <c r="D212" s="4462"/>
      <c r="E212" s="4462"/>
      <c r="F212" s="4462"/>
      <c r="G212" s="4462"/>
      <c r="H212" s="4462"/>
      <c r="I212" s="4462"/>
      <c r="J212" s="4462"/>
    </row>
    <row r="213" spans="1:10" s="588" customFormat="1" ht="5.25" customHeight="1">
      <c r="A213" s="1630"/>
      <c r="B213" s="1630"/>
      <c r="C213" s="1630"/>
      <c r="D213" s="1630"/>
      <c r="E213" s="1630"/>
      <c r="F213" s="1630"/>
      <c r="G213" s="1630"/>
      <c r="H213" s="1630"/>
      <c r="I213" s="1630"/>
      <c r="J213" s="1630"/>
    </row>
    <row r="214" spans="1:10" s="588" customFormat="1" ht="19.5" customHeight="1">
      <c r="A214" s="4461" t="s">
        <v>6407</v>
      </c>
      <c r="B214" s="4461"/>
      <c r="C214" s="4461"/>
      <c r="D214" s="1629"/>
      <c r="E214" s="1629"/>
      <c r="F214" s="1629"/>
      <c r="G214" s="1629"/>
      <c r="H214" s="1629"/>
      <c r="I214" s="1629"/>
      <c r="J214" s="1629"/>
    </row>
    <row r="215" spans="1:10" s="588" customFormat="1" ht="22.5" customHeight="1">
      <c r="A215" s="4440" t="str">
        <f>'Subsidy Layering Memo'!A37</f>
        <v>1)</v>
      </c>
      <c r="B215" s="4440"/>
      <c r="C215" s="4440"/>
      <c r="D215" s="4440"/>
      <c r="E215" s="4440"/>
      <c r="F215" s="4440"/>
      <c r="G215" s="4440"/>
      <c r="H215" s="4440"/>
      <c r="I215" s="4440"/>
      <c r="J215" s="4440"/>
    </row>
    <row r="216" spans="1:10" s="588" customFormat="1" ht="22.5" customHeight="1">
      <c r="A216" s="4440" t="str">
        <f>'Subsidy Layering Memo'!A38</f>
        <v>2)</v>
      </c>
      <c r="B216" s="4440"/>
      <c r="C216" s="4440"/>
      <c r="D216" s="4440"/>
      <c r="E216" s="4440"/>
      <c r="F216" s="4440"/>
      <c r="G216" s="4440"/>
      <c r="H216" s="4440"/>
      <c r="I216" s="4440"/>
      <c r="J216" s="4440"/>
    </row>
    <row r="217" spans="1:10" s="588" customFormat="1" ht="22.5" customHeight="1">
      <c r="A217" s="4440" t="str">
        <f>'Subsidy Layering Memo'!A39</f>
        <v>3)</v>
      </c>
      <c r="B217" s="4440"/>
      <c r="C217" s="4440"/>
      <c r="D217" s="4440"/>
      <c r="E217" s="4440"/>
      <c r="F217" s="4440"/>
      <c r="G217" s="4440"/>
      <c r="H217" s="4440"/>
      <c r="I217" s="4440"/>
      <c r="J217" s="4440"/>
    </row>
    <row r="218" spans="1:10" s="588" customFormat="1" ht="22.5" customHeight="1">
      <c r="A218" s="4440" t="str">
        <f>'Subsidy Layering Memo'!A40</f>
        <v>4)</v>
      </c>
      <c r="B218" s="4440"/>
      <c r="C218" s="4440"/>
      <c r="D218" s="4440"/>
      <c r="E218" s="4440"/>
      <c r="F218" s="4440"/>
      <c r="G218" s="4440"/>
      <c r="H218" s="4440"/>
      <c r="I218" s="4440"/>
      <c r="J218" s="4440"/>
    </row>
    <row r="219" spans="1:10" s="588" customFormat="1" ht="22.5" customHeight="1">
      <c r="A219" s="4440" t="str">
        <f>'Subsidy Layering Memo'!A41</f>
        <v>5)</v>
      </c>
      <c r="B219" s="4440"/>
      <c r="C219" s="4440"/>
      <c r="D219" s="4440"/>
      <c r="E219" s="4440"/>
      <c r="F219" s="4440"/>
      <c r="G219" s="4440"/>
      <c r="H219" s="4440"/>
      <c r="I219" s="4440"/>
      <c r="J219" s="4440"/>
    </row>
    <row r="220" spans="1:10" s="588" customFormat="1" ht="22.5" customHeight="1">
      <c r="A220" s="4440" t="str">
        <f>'Subsidy Layering Memo'!A42</f>
        <v>6)</v>
      </c>
      <c r="B220" s="4440"/>
      <c r="C220" s="4440"/>
      <c r="D220" s="4440"/>
      <c r="E220" s="4440"/>
      <c r="F220" s="4440"/>
      <c r="G220" s="4440"/>
      <c r="H220" s="4440"/>
      <c r="I220" s="4440"/>
      <c r="J220" s="4440"/>
    </row>
    <row r="221" spans="1:10" s="588" customFormat="1" ht="22.5" customHeight="1">
      <c r="A221" s="4440" t="str">
        <f>'Subsidy Layering Memo'!A43</f>
        <v>7)</v>
      </c>
      <c r="B221" s="4440"/>
      <c r="C221" s="4440"/>
      <c r="D221" s="4440"/>
      <c r="E221" s="4440"/>
      <c r="F221" s="4440"/>
      <c r="G221" s="4440"/>
      <c r="H221" s="4440"/>
      <c r="I221" s="4440"/>
      <c r="J221" s="4440"/>
    </row>
    <row r="222" spans="1:10" s="588" customFormat="1" ht="22.5" customHeight="1">
      <c r="A222" s="4440" t="str">
        <f>'Subsidy Layering Memo'!A44</f>
        <v>8)</v>
      </c>
      <c r="B222" s="4440"/>
      <c r="C222" s="4440"/>
      <c r="D222" s="4440"/>
      <c r="E222" s="4440"/>
      <c r="F222" s="4440"/>
      <c r="G222" s="4440"/>
      <c r="H222" s="4440"/>
      <c r="I222" s="4440"/>
      <c r="J222" s="4440"/>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4168</v>
      </c>
      <c r="B1" s="3024"/>
      <c r="C1" s="3024"/>
      <c r="D1" s="3024"/>
      <c r="E1" s="3024"/>
      <c r="F1" s="3024"/>
      <c r="G1" s="3024"/>
      <c r="H1" s="3024"/>
    </row>
    <row r="2" spans="1:11" ht="19.5" thickBot="1">
      <c r="A2" s="3024" t="s">
        <v>4169</v>
      </c>
      <c r="B2" s="3024"/>
      <c r="C2" s="3024"/>
      <c r="D2" s="3024"/>
      <c r="E2" s="3024"/>
      <c r="F2" s="3024"/>
      <c r="G2" s="3024"/>
      <c r="H2" s="3024"/>
    </row>
    <row r="3" spans="1:11" ht="15" customHeight="1" thickBot="1">
      <c r="A3" s="3026" t="s">
        <v>4170</v>
      </c>
      <c r="B3" s="3027"/>
      <c r="C3" s="3028"/>
      <c r="D3" s="4512" t="str">
        <f>'Part I-Project Information'!F35</f>
        <v>Hunters Haven</v>
      </c>
      <c r="E3" s="4513"/>
      <c r="F3" s="4513"/>
      <c r="G3" s="4513"/>
      <c r="H3" s="4513"/>
      <c r="I3" s="4513"/>
      <c r="J3" s="4514" t="s">
        <v>6421</v>
      </c>
      <c r="K3" s="4515"/>
    </row>
    <row r="4" spans="1:11" ht="15" customHeight="1">
      <c r="A4" s="3029" t="s">
        <v>4171</v>
      </c>
      <c r="B4" s="3030"/>
      <c r="C4" s="3031"/>
      <c r="D4" s="4516" t="str">
        <f>CONCATENATE('Part I-Project Information'!F36,", ",'Part I-Project Information'!F39,", GA ",'Part I-Project Information'!J39," (",'Part I-Project Information'!J40," Co.)",)</f>
        <v>, Flemington, GA 313133427 (Liberty Co.)</v>
      </c>
      <c r="E4" s="4517"/>
      <c r="F4" s="4517"/>
      <c r="G4" s="4517"/>
      <c r="H4" s="4517"/>
      <c r="I4" s="4517"/>
      <c r="J4" s="4518" t="s">
        <v>4212</v>
      </c>
      <c r="K4" s="4519"/>
    </row>
    <row r="5" spans="1:11" ht="15" customHeight="1" thickBot="1">
      <c r="A5" s="3032" t="s">
        <v>4172</v>
      </c>
      <c r="B5" s="3033"/>
      <c r="C5" s="3034"/>
      <c r="D5" s="4522"/>
      <c r="E5" s="4523"/>
      <c r="F5" s="4523"/>
      <c r="G5" s="4523"/>
      <c r="H5" s="4523"/>
      <c r="I5" s="4523"/>
      <c r="J5" s="4520"/>
      <c r="K5" s="4521"/>
    </row>
    <row r="6" spans="1:11" ht="9" customHeight="1" thickBot="1">
      <c r="E6" s="3025"/>
    </row>
    <row r="7" spans="1:11">
      <c r="A7" s="4504" t="s">
        <v>4174</v>
      </c>
      <c r="B7" s="4505"/>
      <c r="C7" s="4505"/>
      <c r="D7" s="4505"/>
      <c r="E7" s="4505"/>
      <c r="F7" s="4505"/>
      <c r="G7" s="4505"/>
      <c r="H7" s="4505"/>
      <c r="I7" s="4505"/>
      <c r="J7" s="4505"/>
      <c r="K7" s="4506"/>
    </row>
    <row r="8" spans="1:11" ht="14.25" customHeight="1">
      <c r="A8" s="3035"/>
      <c r="B8" s="3035"/>
      <c r="C8" s="3036">
        <v>1</v>
      </c>
      <c r="D8" s="3037" t="s">
        <v>4175</v>
      </c>
      <c r="E8" s="3037"/>
      <c r="F8" s="3037"/>
      <c r="G8" s="3037"/>
      <c r="H8" s="3037"/>
      <c r="I8" s="3037"/>
      <c r="J8" s="4502"/>
      <c r="K8" s="4503"/>
    </row>
    <row r="9" spans="1:11" ht="7.15" customHeight="1">
      <c r="A9" s="4507"/>
      <c r="B9" s="4507"/>
      <c r="C9" s="4507"/>
      <c r="D9" s="4508"/>
      <c r="E9" s="4508"/>
      <c r="F9" s="4508"/>
      <c r="G9" s="4508"/>
      <c r="H9" s="4508"/>
      <c r="I9" s="4508"/>
      <c r="J9" s="4508"/>
      <c r="K9" s="3038"/>
    </row>
    <row r="10" spans="1:11">
      <c r="A10" s="4509" t="s">
        <v>4176</v>
      </c>
      <c r="B10" s="4510"/>
      <c r="C10" s="4510"/>
      <c r="D10" s="4510"/>
      <c r="E10" s="4510"/>
      <c r="F10" s="4510"/>
      <c r="G10" s="4510"/>
      <c r="H10" s="4510"/>
      <c r="I10" s="4510"/>
      <c r="J10" s="4510"/>
      <c r="K10" s="4511"/>
    </row>
    <row r="11" spans="1:11" ht="14.25" customHeight="1">
      <c r="A11" s="3035"/>
      <c r="B11" s="3035"/>
      <c r="C11" s="3036">
        <v>2</v>
      </c>
      <c r="D11" s="3037" t="s">
        <v>4177</v>
      </c>
      <c r="E11" s="3039"/>
      <c r="F11" s="3039"/>
      <c r="G11" s="3039"/>
      <c r="H11" s="3039"/>
      <c r="I11" s="3039"/>
      <c r="J11" s="4500"/>
      <c r="K11" s="4501"/>
    </row>
    <row r="12" spans="1:11" ht="7.15" customHeight="1">
      <c r="A12" s="4507"/>
      <c r="B12" s="4507"/>
      <c r="C12" s="4507"/>
      <c r="D12" s="4508"/>
      <c r="E12" s="4508"/>
      <c r="F12" s="4508"/>
      <c r="G12" s="4508"/>
      <c r="H12" s="4508"/>
      <c r="I12" s="4508"/>
      <c r="J12" s="4508"/>
      <c r="K12" s="3040"/>
    </row>
    <row r="13" spans="1:11">
      <c r="A13" s="4509" t="s">
        <v>4178</v>
      </c>
      <c r="B13" s="4510"/>
      <c r="C13" s="4510"/>
      <c r="D13" s="4510"/>
      <c r="E13" s="4510"/>
      <c r="F13" s="4510"/>
      <c r="G13" s="4510"/>
      <c r="H13" s="4510"/>
      <c r="I13" s="4510"/>
      <c r="J13" s="4510"/>
      <c r="K13" s="4511"/>
    </row>
    <row r="14" spans="1:11" ht="14.25" customHeight="1">
      <c r="A14" s="3030"/>
      <c r="B14" s="3030"/>
      <c r="C14" s="3041">
        <v>3</v>
      </c>
      <c r="D14" s="3042" t="s">
        <v>4179</v>
      </c>
      <c r="E14" s="3042"/>
      <c r="F14" s="3042"/>
      <c r="G14" s="3042"/>
      <c r="H14" s="3042"/>
      <c r="I14" s="3042"/>
      <c r="J14" s="4498"/>
      <c r="K14" s="4499"/>
    </row>
    <row r="15" spans="1:11" ht="14.25" customHeight="1">
      <c r="A15" s="3030"/>
      <c r="B15" s="3030"/>
      <c r="C15" s="3043">
        <v>4</v>
      </c>
      <c r="D15" s="3030" t="s">
        <v>4180</v>
      </c>
      <c r="E15" s="3030"/>
      <c r="F15" s="3030"/>
      <c r="G15" s="3030"/>
      <c r="H15" s="3030"/>
      <c r="I15" s="3030"/>
      <c r="J15" s="4496"/>
      <c r="K15" s="4497"/>
    </row>
    <row r="16" spans="1:11" ht="14.25" customHeight="1">
      <c r="A16" s="3030"/>
      <c r="B16" s="3030"/>
      <c r="C16" s="3043">
        <v>5</v>
      </c>
      <c r="D16" s="3030" t="s">
        <v>4181</v>
      </c>
      <c r="E16" s="3030"/>
      <c r="F16" s="3030"/>
      <c r="G16" s="3030"/>
      <c r="H16" s="3030"/>
      <c r="I16" s="3030"/>
      <c r="J16" s="4496"/>
      <c r="K16" s="4497"/>
    </row>
    <row r="17" spans="1:13" ht="14.25" customHeight="1">
      <c r="A17" s="3035"/>
      <c r="B17" s="3035"/>
      <c r="C17" s="3044">
        <v>6</v>
      </c>
      <c r="D17" s="3033" t="s">
        <v>4182</v>
      </c>
      <c r="E17" s="3033"/>
      <c r="F17" s="3033"/>
      <c r="G17" s="3033"/>
      <c r="H17" s="3033"/>
      <c r="I17" s="3033"/>
      <c r="J17" s="4577"/>
      <c r="K17" s="4578"/>
    </row>
    <row r="18" spans="1:13" ht="7.15" customHeight="1">
      <c r="A18" s="4507"/>
      <c r="B18" s="4507"/>
      <c r="C18" s="4507"/>
      <c r="D18" s="4508"/>
      <c r="E18" s="4508"/>
      <c r="F18" s="4508"/>
      <c r="G18" s="4508"/>
      <c r="H18" s="4508"/>
      <c r="I18" s="4508"/>
      <c r="J18" s="4508"/>
      <c r="K18" s="3040"/>
    </row>
    <row r="19" spans="1:13" ht="14.25" customHeight="1">
      <c r="A19" s="3030"/>
      <c r="B19" s="3030"/>
      <c r="C19" s="3041">
        <v>7</v>
      </c>
      <c r="D19" s="3042" t="s">
        <v>4183</v>
      </c>
      <c r="E19" s="3042"/>
      <c r="F19" s="3042"/>
      <c r="G19" s="3042"/>
      <c r="H19" s="3042"/>
      <c r="I19" s="3042"/>
      <c r="J19" s="4575" t="str">
        <f>IF(J17="No",J14-J15,IF(J17="Yes",J14-J15-J16,"Error"))</f>
        <v>Error</v>
      </c>
      <c r="K19" s="4576"/>
    </row>
    <row r="20" spans="1:13" ht="14.25" customHeight="1">
      <c r="A20" s="3035"/>
      <c r="B20" s="3035"/>
      <c r="C20" s="3044">
        <v>8</v>
      </c>
      <c r="D20" s="3033" t="s">
        <v>4184</v>
      </c>
      <c r="E20" s="3033"/>
      <c r="F20" s="3033"/>
      <c r="G20" s="3033"/>
      <c r="H20" s="3033"/>
      <c r="I20" s="3033"/>
      <c r="J20" s="4573" t="e">
        <f>ROUNDDOWN(J19/J8,2)</f>
        <v>#VALUE!</v>
      </c>
      <c r="K20" s="4574"/>
    </row>
    <row r="21" spans="1:13" ht="7.15" customHeight="1">
      <c r="A21" s="4507"/>
      <c r="B21" s="4507"/>
      <c r="C21" s="4507"/>
      <c r="D21" s="4508"/>
      <c r="E21" s="4508"/>
      <c r="F21" s="4508"/>
      <c r="G21" s="4508"/>
      <c r="H21" s="4508"/>
      <c r="I21" s="4508"/>
      <c r="J21" s="4508"/>
      <c r="K21" s="3040"/>
    </row>
    <row r="22" spans="1:13" ht="14.25" customHeight="1" thickBot="1">
      <c r="A22" s="3030"/>
      <c r="B22" s="3030"/>
      <c r="C22" s="3036">
        <v>9</v>
      </c>
      <c r="D22" s="3045" t="s">
        <v>4185</v>
      </c>
      <c r="E22" s="3045"/>
      <c r="F22" s="3045"/>
      <c r="G22" s="3045"/>
      <c r="H22" s="3045"/>
      <c r="I22" s="3045"/>
      <c r="J22" s="4571" t="e">
        <f>J11/J19</f>
        <v>#VALUE!</v>
      </c>
      <c r="K22" s="4572"/>
    </row>
    <row r="23" spans="1:13" ht="9" customHeight="1">
      <c r="A23" s="3046"/>
      <c r="C23" s="3047"/>
      <c r="D23" s="3047"/>
      <c r="E23" s="3047"/>
      <c r="F23" s="3047"/>
      <c r="G23" s="3047"/>
      <c r="H23" s="3047"/>
      <c r="I23" s="3047"/>
      <c r="J23" s="3047"/>
      <c r="K23" s="3048"/>
    </row>
    <row r="24" spans="1:13" ht="18.75">
      <c r="A24" s="3049" t="s">
        <v>4186</v>
      </c>
      <c r="C24" s="3047"/>
      <c r="D24" s="3047"/>
      <c r="E24" s="3047"/>
      <c r="F24" s="3047"/>
      <c r="G24" s="3047"/>
      <c r="H24" s="3047"/>
      <c r="I24" s="3047"/>
      <c r="J24" s="3047"/>
      <c r="K24" s="3048"/>
    </row>
    <row r="25" spans="1:13" ht="14.25" customHeight="1">
      <c r="A25" s="3050" t="s">
        <v>4217</v>
      </c>
      <c r="C25" s="3047"/>
      <c r="D25" s="3047"/>
      <c r="E25" s="3047"/>
      <c r="F25" s="3047"/>
      <c r="G25" s="3047"/>
      <c r="H25" s="3047"/>
      <c r="I25" s="3047"/>
      <c r="J25" s="3047"/>
      <c r="K25" s="3048"/>
    </row>
    <row r="26" spans="1:13" ht="14.25" customHeight="1">
      <c r="A26" s="3050" t="s">
        <v>4218</v>
      </c>
      <c r="C26" s="3047"/>
      <c r="D26" s="3047"/>
      <c r="E26" s="3047"/>
      <c r="F26" s="3047"/>
      <c r="G26" s="3047"/>
      <c r="H26" s="3047"/>
      <c r="I26" s="3047"/>
      <c r="J26" s="3047"/>
      <c r="K26" s="3048"/>
    </row>
    <row r="27" spans="1:13" ht="14.25" customHeight="1">
      <c r="A27" s="3050" t="s">
        <v>4219</v>
      </c>
      <c r="C27" s="3047"/>
      <c r="D27" s="3047"/>
      <c r="E27" s="3047"/>
      <c r="F27" s="3047"/>
      <c r="G27" s="3047"/>
      <c r="H27" s="3047"/>
      <c r="I27" s="3047"/>
      <c r="J27" s="3047"/>
      <c r="K27" s="3048"/>
    </row>
    <row r="28" spans="1:13" ht="14.25" customHeight="1">
      <c r="A28" s="3050" t="s">
        <v>4220</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29" t="s">
        <v>4216</v>
      </c>
      <c r="B30" s="4530"/>
      <c r="C30" s="4530"/>
      <c r="D30" s="4530"/>
      <c r="E30" s="4530"/>
      <c r="F30" s="4530"/>
      <c r="G30" s="4530"/>
      <c r="H30" s="4530"/>
      <c r="I30" s="4530"/>
      <c r="J30" s="4530"/>
      <c r="K30" s="4531"/>
    </row>
    <row r="31" spans="1:13">
      <c r="A31" s="3051"/>
      <c r="B31" s="4532" t="s">
        <v>6421</v>
      </c>
      <c r="C31" s="4532"/>
      <c r="D31" s="4532"/>
      <c r="E31" s="4532"/>
      <c r="F31" s="4532"/>
      <c r="G31" s="4533" t="s">
        <v>4187</v>
      </c>
      <c r="H31" s="4534"/>
      <c r="I31" s="4534"/>
      <c r="J31" s="4534"/>
      <c r="K31" s="4535"/>
    </row>
    <row r="32" spans="1:13" ht="56.25" customHeight="1">
      <c r="A32" s="3052"/>
      <c r="B32" s="3053" t="s">
        <v>4215</v>
      </c>
      <c r="C32" s="3054" t="s">
        <v>4211</v>
      </c>
      <c r="D32" s="3054" t="s">
        <v>4210</v>
      </c>
      <c r="E32" s="4536" t="s">
        <v>6313</v>
      </c>
      <c r="F32" s="4537"/>
      <c r="G32" s="3055" t="s">
        <v>4188</v>
      </c>
      <c r="H32" s="3055" t="s">
        <v>4189</v>
      </c>
      <c r="J32" s="3055" t="s">
        <v>4190</v>
      </c>
      <c r="K32" s="3055" t="s">
        <v>4191</v>
      </c>
      <c r="L32" s="4524" t="s">
        <v>4192</v>
      </c>
      <c r="M32" s="4524"/>
    </row>
    <row r="33" spans="2:14" ht="12.75" customHeight="1">
      <c r="B33" s="3056"/>
      <c r="C33" s="3057"/>
      <c r="D33" s="3058"/>
      <c r="E33" s="4525"/>
      <c r="F33" s="4526"/>
      <c r="G33" s="3059" t="e">
        <f t="shared" ref="G33:G51" si="0">$J$22*B33</f>
        <v>#VALUE!</v>
      </c>
      <c r="H33" s="3060" t="e">
        <f>ROUNDUP(G33,0)</f>
        <v>#VALUE!</v>
      </c>
      <c r="I33" s="3061"/>
      <c r="J33" s="3062" t="e">
        <f t="shared" ref="J33:J51" si="1">$J$20*E33</f>
        <v>#VALUE!</v>
      </c>
      <c r="K33" s="3062" t="e">
        <f t="shared" ref="K33:K51" si="2">ROUNDDOWN(J33*H33,0)</f>
        <v>#VALUE!</v>
      </c>
      <c r="L33" s="4524"/>
      <c r="M33" s="4524"/>
    </row>
    <row r="34" spans="2:14" ht="12.75" customHeight="1">
      <c r="B34" s="3063"/>
      <c r="C34" s="3064"/>
      <c r="D34" s="3065"/>
      <c r="E34" s="4527"/>
      <c r="F34" s="4528"/>
      <c r="G34" s="3066" t="e">
        <f t="shared" si="0"/>
        <v>#VALUE!</v>
      </c>
      <c r="H34" s="3067" t="e">
        <f t="shared" ref="H34:H51" si="3">ROUNDUP(G34,0)</f>
        <v>#VALUE!</v>
      </c>
      <c r="I34" s="3061"/>
      <c r="J34" s="3068" t="e">
        <f t="shared" si="1"/>
        <v>#VALUE!</v>
      </c>
      <c r="K34" s="3068" t="e">
        <f t="shared" si="2"/>
        <v>#VALUE!</v>
      </c>
      <c r="L34" s="4524"/>
      <c r="M34" s="4524"/>
    </row>
    <row r="35" spans="2:14" ht="12.75" customHeight="1">
      <c r="B35" s="3063"/>
      <c r="C35" s="3064"/>
      <c r="D35" s="3065"/>
      <c r="E35" s="4527"/>
      <c r="F35" s="4528"/>
      <c r="G35" s="3066" t="e">
        <f t="shared" si="0"/>
        <v>#VALUE!</v>
      </c>
      <c r="H35" s="3067" t="e">
        <f t="shared" si="3"/>
        <v>#VALUE!</v>
      </c>
      <c r="I35" s="3061"/>
      <c r="J35" s="3068" t="e">
        <f t="shared" si="1"/>
        <v>#VALUE!</v>
      </c>
      <c r="K35" s="3068" t="e">
        <f t="shared" si="2"/>
        <v>#VALUE!</v>
      </c>
      <c r="L35" s="4524"/>
      <c r="M35" s="4524"/>
    </row>
    <row r="36" spans="2:14" ht="12.75" customHeight="1">
      <c r="B36" s="3063"/>
      <c r="C36" s="3064"/>
      <c r="D36" s="3065"/>
      <c r="E36" s="4527"/>
      <c r="F36" s="4528"/>
      <c r="G36" s="3066" t="e">
        <f t="shared" si="0"/>
        <v>#VALUE!</v>
      </c>
      <c r="H36" s="3067" t="e">
        <f t="shared" si="3"/>
        <v>#VALUE!</v>
      </c>
      <c r="I36" s="3061"/>
      <c r="J36" s="3068" t="e">
        <f t="shared" si="1"/>
        <v>#VALUE!</v>
      </c>
      <c r="K36" s="3068" t="e">
        <f t="shared" si="2"/>
        <v>#VALUE!</v>
      </c>
      <c r="L36" s="4524"/>
      <c r="M36" s="4524"/>
      <c r="N36" s="3069"/>
    </row>
    <row r="37" spans="2:14" ht="12.75" customHeight="1">
      <c r="B37" s="3063"/>
      <c r="C37" s="3064"/>
      <c r="D37" s="3065"/>
      <c r="E37" s="4527"/>
      <c r="F37" s="4528"/>
      <c r="G37" s="3066" t="e">
        <f t="shared" si="0"/>
        <v>#VALUE!</v>
      </c>
      <c r="H37" s="3067" t="e">
        <f t="shared" si="3"/>
        <v>#VALUE!</v>
      </c>
      <c r="I37" s="3061"/>
      <c r="J37" s="3068" t="e">
        <f t="shared" si="1"/>
        <v>#VALUE!</v>
      </c>
      <c r="K37" s="3068" t="e">
        <f t="shared" si="2"/>
        <v>#VALUE!</v>
      </c>
      <c r="L37" s="4524"/>
      <c r="M37" s="4524"/>
    </row>
    <row r="38" spans="2:14" ht="12.75" customHeight="1">
      <c r="B38" s="3063"/>
      <c r="C38" s="3064"/>
      <c r="D38" s="3065"/>
      <c r="E38" s="4527"/>
      <c r="F38" s="4528"/>
      <c r="G38" s="3066" t="e">
        <f t="shared" si="0"/>
        <v>#VALUE!</v>
      </c>
      <c r="H38" s="3067" t="e">
        <f t="shared" si="3"/>
        <v>#VALUE!</v>
      </c>
      <c r="I38" s="3061"/>
      <c r="J38" s="3068" t="e">
        <f t="shared" si="1"/>
        <v>#VALUE!</v>
      </c>
      <c r="K38" s="3068" t="e">
        <f t="shared" si="2"/>
        <v>#VALUE!</v>
      </c>
      <c r="L38" s="4524"/>
      <c r="M38" s="4524"/>
    </row>
    <row r="39" spans="2:14" ht="12.75" customHeight="1">
      <c r="B39" s="3063"/>
      <c r="C39" s="3064"/>
      <c r="D39" s="3065"/>
      <c r="E39" s="4527"/>
      <c r="F39" s="4528"/>
      <c r="G39" s="3066" t="e">
        <f t="shared" si="0"/>
        <v>#VALUE!</v>
      </c>
      <c r="H39" s="3067" t="e">
        <f t="shared" si="3"/>
        <v>#VALUE!</v>
      </c>
      <c r="I39" s="3061"/>
      <c r="J39" s="3068" t="e">
        <f t="shared" si="1"/>
        <v>#VALUE!</v>
      </c>
      <c r="K39" s="3068" t="e">
        <f t="shared" si="2"/>
        <v>#VALUE!</v>
      </c>
      <c r="L39" s="4524"/>
      <c r="M39" s="4524"/>
    </row>
    <row r="40" spans="2:14" ht="12.75" customHeight="1">
      <c r="B40" s="3063"/>
      <c r="C40" s="3064"/>
      <c r="D40" s="3065"/>
      <c r="E40" s="4527"/>
      <c r="F40" s="4528"/>
      <c r="G40" s="3066" t="e">
        <f t="shared" si="0"/>
        <v>#VALUE!</v>
      </c>
      <c r="H40" s="3067" t="e">
        <f t="shared" si="3"/>
        <v>#VALUE!</v>
      </c>
      <c r="I40" s="3061"/>
      <c r="J40" s="3068" t="e">
        <f t="shared" si="1"/>
        <v>#VALUE!</v>
      </c>
      <c r="K40" s="3068" t="e">
        <f t="shared" si="2"/>
        <v>#VALUE!</v>
      </c>
      <c r="L40" s="4524"/>
      <c r="M40" s="4524"/>
    </row>
    <row r="41" spans="2:14" ht="12.75" customHeight="1">
      <c r="B41" s="3063"/>
      <c r="C41" s="3064"/>
      <c r="D41" s="3065"/>
      <c r="E41" s="4527"/>
      <c r="F41" s="4528"/>
      <c r="G41" s="3066" t="e">
        <f t="shared" si="0"/>
        <v>#VALUE!</v>
      </c>
      <c r="H41" s="3067" t="e">
        <f t="shared" si="3"/>
        <v>#VALUE!</v>
      </c>
      <c r="I41" s="3061"/>
      <c r="J41" s="3068" t="e">
        <f t="shared" si="1"/>
        <v>#VALUE!</v>
      </c>
      <c r="K41" s="3068" t="e">
        <f t="shared" si="2"/>
        <v>#VALUE!</v>
      </c>
      <c r="L41" s="4524"/>
      <c r="M41" s="4524"/>
    </row>
    <row r="42" spans="2:14" ht="12.75" customHeight="1">
      <c r="B42" s="3063"/>
      <c r="C42" s="3064"/>
      <c r="D42" s="3065"/>
      <c r="E42" s="4527"/>
      <c r="F42" s="4528"/>
      <c r="G42" s="3066" t="e">
        <f t="shared" si="0"/>
        <v>#VALUE!</v>
      </c>
      <c r="H42" s="3067" t="e">
        <f t="shared" si="3"/>
        <v>#VALUE!</v>
      </c>
      <c r="I42" s="3061"/>
      <c r="J42" s="3068" t="e">
        <f t="shared" si="1"/>
        <v>#VALUE!</v>
      </c>
      <c r="K42" s="3068" t="e">
        <f t="shared" si="2"/>
        <v>#VALUE!</v>
      </c>
      <c r="L42" s="4524"/>
      <c r="M42" s="4524"/>
    </row>
    <row r="43" spans="2:14" ht="12.75" customHeight="1">
      <c r="B43" s="3063"/>
      <c r="C43" s="3064"/>
      <c r="D43" s="3065"/>
      <c r="E43" s="4527"/>
      <c r="F43" s="4528"/>
      <c r="G43" s="3066" t="e">
        <f t="shared" si="0"/>
        <v>#VALUE!</v>
      </c>
      <c r="H43" s="3067" t="e">
        <f t="shared" si="3"/>
        <v>#VALUE!</v>
      </c>
      <c r="I43" s="3061"/>
      <c r="J43" s="3068" t="e">
        <f t="shared" si="1"/>
        <v>#VALUE!</v>
      </c>
      <c r="K43" s="3068" t="e">
        <f t="shared" si="2"/>
        <v>#VALUE!</v>
      </c>
      <c r="L43" s="4524"/>
      <c r="M43" s="4524"/>
    </row>
    <row r="44" spans="2:14" ht="12.75" customHeight="1">
      <c r="B44" s="3063"/>
      <c r="C44" s="3064"/>
      <c r="D44" s="3065"/>
      <c r="E44" s="4527"/>
      <c r="F44" s="4528"/>
      <c r="G44" s="3066" t="e">
        <f t="shared" si="0"/>
        <v>#VALUE!</v>
      </c>
      <c r="H44" s="3067" t="e">
        <f t="shared" si="3"/>
        <v>#VALUE!</v>
      </c>
      <c r="I44" s="3061"/>
      <c r="J44" s="3068" t="e">
        <f t="shared" si="1"/>
        <v>#VALUE!</v>
      </c>
      <c r="K44" s="3068" t="e">
        <f t="shared" si="2"/>
        <v>#VALUE!</v>
      </c>
      <c r="L44" s="4524"/>
      <c r="M44" s="4524"/>
    </row>
    <row r="45" spans="2:14" ht="12.75" customHeight="1">
      <c r="B45" s="3063"/>
      <c r="C45" s="3064"/>
      <c r="D45" s="3065"/>
      <c r="E45" s="4527"/>
      <c r="F45" s="4528"/>
      <c r="G45" s="3066" t="e">
        <f t="shared" si="0"/>
        <v>#VALUE!</v>
      </c>
      <c r="H45" s="3067" t="e">
        <f t="shared" si="3"/>
        <v>#VALUE!</v>
      </c>
      <c r="I45" s="3061"/>
      <c r="J45" s="3068" t="e">
        <f t="shared" si="1"/>
        <v>#VALUE!</v>
      </c>
      <c r="K45" s="3068" t="e">
        <f t="shared" si="2"/>
        <v>#VALUE!</v>
      </c>
      <c r="L45" s="4524"/>
      <c r="M45" s="4524"/>
    </row>
    <row r="46" spans="2:14" ht="12.75" customHeight="1">
      <c r="B46" s="3063"/>
      <c r="C46" s="3064"/>
      <c r="D46" s="3065"/>
      <c r="E46" s="4527"/>
      <c r="F46" s="4528"/>
      <c r="G46" s="3066" t="e">
        <f t="shared" si="0"/>
        <v>#VALUE!</v>
      </c>
      <c r="H46" s="3067" t="e">
        <f t="shared" si="3"/>
        <v>#VALUE!</v>
      </c>
      <c r="I46" s="3061"/>
      <c r="J46" s="3068" t="e">
        <f t="shared" si="1"/>
        <v>#VALUE!</v>
      </c>
      <c r="K46" s="3068" t="e">
        <f t="shared" si="2"/>
        <v>#VALUE!</v>
      </c>
      <c r="L46" s="4524"/>
      <c r="M46" s="4524"/>
    </row>
    <row r="47" spans="2:14" ht="12.75" customHeight="1">
      <c r="B47" s="3063"/>
      <c r="C47" s="3064"/>
      <c r="D47" s="3065"/>
      <c r="E47" s="4527"/>
      <c r="F47" s="4528"/>
      <c r="G47" s="3066" t="e">
        <f t="shared" si="0"/>
        <v>#VALUE!</v>
      </c>
      <c r="H47" s="3067" t="e">
        <f t="shared" si="3"/>
        <v>#VALUE!</v>
      </c>
      <c r="I47" s="3061"/>
      <c r="J47" s="3068" t="e">
        <f t="shared" si="1"/>
        <v>#VALUE!</v>
      </c>
      <c r="K47" s="3068" t="e">
        <f t="shared" si="2"/>
        <v>#VALUE!</v>
      </c>
      <c r="L47" s="4524"/>
      <c r="M47" s="4524"/>
    </row>
    <row r="48" spans="2:14" ht="12.75" customHeight="1">
      <c r="B48" s="3063"/>
      <c r="C48" s="3064"/>
      <c r="D48" s="3065"/>
      <c r="E48" s="4527"/>
      <c r="F48" s="4528"/>
      <c r="G48" s="3066" t="e">
        <f t="shared" si="0"/>
        <v>#VALUE!</v>
      </c>
      <c r="H48" s="3067" t="e">
        <f t="shared" si="3"/>
        <v>#VALUE!</v>
      </c>
      <c r="I48" s="3061"/>
      <c r="J48" s="3068" t="e">
        <f t="shared" si="1"/>
        <v>#VALUE!</v>
      </c>
      <c r="K48" s="3068" t="e">
        <f t="shared" si="2"/>
        <v>#VALUE!</v>
      </c>
      <c r="L48" s="4524"/>
      <c r="M48" s="4524"/>
    </row>
    <row r="49" spans="1:13" ht="12.75" customHeight="1">
      <c r="B49" s="3063"/>
      <c r="C49" s="3064"/>
      <c r="D49" s="3065"/>
      <c r="E49" s="4527"/>
      <c r="F49" s="4528"/>
      <c r="G49" s="3066" t="e">
        <f t="shared" si="0"/>
        <v>#VALUE!</v>
      </c>
      <c r="H49" s="3067" t="e">
        <f t="shared" si="3"/>
        <v>#VALUE!</v>
      </c>
      <c r="I49" s="3061"/>
      <c r="J49" s="3068" t="e">
        <f t="shared" si="1"/>
        <v>#VALUE!</v>
      </c>
      <c r="K49" s="3068" t="e">
        <f t="shared" si="2"/>
        <v>#VALUE!</v>
      </c>
      <c r="L49" s="4524"/>
      <c r="M49" s="4524"/>
    </row>
    <row r="50" spans="1:13" ht="12.75" customHeight="1">
      <c r="B50" s="3063"/>
      <c r="C50" s="3064"/>
      <c r="D50" s="3065"/>
      <c r="E50" s="4527"/>
      <c r="F50" s="4528"/>
      <c r="G50" s="3066" t="e">
        <f t="shared" si="0"/>
        <v>#VALUE!</v>
      </c>
      <c r="H50" s="3067" t="e">
        <f t="shared" si="3"/>
        <v>#VALUE!</v>
      </c>
      <c r="I50" s="3061"/>
      <c r="J50" s="3068" t="e">
        <f t="shared" si="1"/>
        <v>#VALUE!</v>
      </c>
      <c r="K50" s="3068" t="e">
        <f t="shared" si="2"/>
        <v>#VALUE!</v>
      </c>
      <c r="L50" s="4524"/>
      <c r="M50" s="4524"/>
    </row>
    <row r="51" spans="1:13" ht="12.75" customHeight="1" thickBot="1">
      <c r="B51" s="3070"/>
      <c r="C51" s="3071"/>
      <c r="D51" s="3072"/>
      <c r="E51" s="4541"/>
      <c r="F51" s="4542"/>
      <c r="G51" s="3073" t="e">
        <f t="shared" si="0"/>
        <v>#VALUE!</v>
      </c>
      <c r="H51" s="3074" t="e">
        <f t="shared" si="3"/>
        <v>#VALUE!</v>
      </c>
      <c r="I51" s="3061"/>
      <c r="J51" s="3075" t="e">
        <f t="shared" si="1"/>
        <v>#VALUE!</v>
      </c>
      <c r="K51" s="3075" t="e">
        <f t="shared" si="2"/>
        <v>#VALUE!</v>
      </c>
      <c r="L51" s="4524"/>
      <c r="M51" s="4524"/>
    </row>
    <row r="52" spans="1:13" ht="15" customHeight="1" thickBot="1">
      <c r="A52" s="3051"/>
      <c r="B52" s="3076"/>
      <c r="D52" s="3042"/>
      <c r="E52" s="3042"/>
      <c r="F52" s="3042"/>
      <c r="G52" s="3077" t="s">
        <v>4193</v>
      </c>
      <c r="H52" s="3078" t="e">
        <f>SUM(H33:H51)</f>
        <v>#VALUE!</v>
      </c>
      <c r="I52" s="3042"/>
      <c r="J52" s="3076" t="s">
        <v>4194</v>
      </c>
      <c r="K52" s="3079" t="e">
        <f>SUM(K33:K51)</f>
        <v>#VALUE!</v>
      </c>
      <c r="L52" s="4524"/>
      <c r="M52" s="4524"/>
    </row>
    <row r="53" spans="1:13" ht="15" customHeight="1">
      <c r="A53" s="3051"/>
      <c r="B53" s="3080"/>
      <c r="C53" s="4543" t="s">
        <v>4195</v>
      </c>
      <c r="D53" s="4543"/>
      <c r="E53" s="4543"/>
      <c r="F53" s="4543"/>
      <c r="G53" s="4543"/>
      <c r="H53" s="4543"/>
      <c r="I53" s="4543"/>
      <c r="J53" s="4544"/>
      <c r="K53" s="3081" t="str">
        <f>IF(J17="no",0,IF(J17="yes",J16,"Error"))</f>
        <v>Error</v>
      </c>
      <c r="L53" s="4524"/>
      <c r="M53" s="4524"/>
    </row>
    <row r="54" spans="1:13" ht="15" customHeight="1" thickBot="1">
      <c r="A54" s="3051"/>
      <c r="B54" s="3080"/>
      <c r="C54" s="4545" t="s">
        <v>4196</v>
      </c>
      <c r="D54" s="4545"/>
      <c r="E54" s="4545"/>
      <c r="F54" s="4545"/>
      <c r="G54" s="4545"/>
      <c r="H54" s="4545"/>
      <c r="I54" s="4545"/>
      <c r="J54" s="4546"/>
      <c r="K54" s="3082" t="e">
        <f>K52+K53</f>
        <v>#VALUE!</v>
      </c>
    </row>
    <row r="55" spans="1:13" ht="7.9" customHeight="1">
      <c r="A55" s="4547"/>
      <c r="B55" s="4548"/>
      <c r="C55" s="4548"/>
      <c r="D55" s="4548"/>
      <c r="E55" s="4548"/>
      <c r="F55" s="4548"/>
      <c r="G55" s="4548"/>
      <c r="H55" s="4548"/>
      <c r="I55" s="4548"/>
      <c r="J55" s="4548"/>
      <c r="K55" s="3083"/>
    </row>
    <row r="56" spans="1:13" ht="15" customHeight="1">
      <c r="A56" s="4538" t="s">
        <v>4197</v>
      </c>
      <c r="B56" s="4539"/>
      <c r="C56" s="4539"/>
      <c r="D56" s="4539"/>
      <c r="E56" s="4539"/>
      <c r="F56" s="4539"/>
      <c r="G56" s="4539"/>
      <c r="H56" s="4539"/>
      <c r="I56" s="4539"/>
      <c r="J56" s="4539"/>
      <c r="K56" s="4540"/>
    </row>
    <row r="57" spans="1:13" ht="48" customHeight="1">
      <c r="A57" s="3084"/>
      <c r="B57" s="3085"/>
      <c r="C57" s="3086" t="s">
        <v>4198</v>
      </c>
      <c r="D57" s="3087" t="s">
        <v>6273</v>
      </c>
      <c r="E57" s="4549" t="s">
        <v>4214</v>
      </c>
      <c r="F57" s="4550"/>
      <c r="G57" s="4551" t="s">
        <v>4199</v>
      </c>
      <c r="H57" s="4552"/>
      <c r="I57" s="4549" t="s">
        <v>4213</v>
      </c>
      <c r="J57" s="4550"/>
      <c r="K57" s="4553"/>
    </row>
    <row r="58" spans="1:13" ht="15" customHeight="1">
      <c r="A58" s="3088"/>
      <c r="B58" s="3089"/>
      <c r="C58" s="3090">
        <f>SUMIF(C33:C51, "0", H33:H51)</f>
        <v>0</v>
      </c>
      <c r="D58" s="3091">
        <f t="shared" ref="D58:D63" si="4">ROUNDUP(C58*1.1,0)</f>
        <v>0</v>
      </c>
      <c r="E58" s="4555" t="s">
        <v>4200</v>
      </c>
      <c r="F58" s="4556"/>
      <c r="G58" s="4557">
        <v>153314.4</v>
      </c>
      <c r="H58" s="4558"/>
      <c r="I58" s="4559">
        <f t="shared" ref="I58:I63" si="5">D58*G58</f>
        <v>0</v>
      </c>
      <c r="J58" s="4559"/>
      <c r="K58" s="4554"/>
    </row>
    <row r="59" spans="1:13">
      <c r="A59" s="3088"/>
      <c r="B59" s="3089"/>
      <c r="C59" s="3092">
        <f>SUMIF(C33:C51, "1", H33:H51)</f>
        <v>0</v>
      </c>
      <c r="D59" s="3093">
        <f t="shared" si="4"/>
        <v>0</v>
      </c>
      <c r="E59" s="4560" t="s">
        <v>2559</v>
      </c>
      <c r="F59" s="4561"/>
      <c r="G59" s="4562">
        <v>175752</v>
      </c>
      <c r="H59" s="4563"/>
      <c r="I59" s="4564">
        <f t="shared" si="5"/>
        <v>0</v>
      </c>
      <c r="J59" s="4564"/>
      <c r="K59" s="4554"/>
    </row>
    <row r="60" spans="1:13" ht="15" customHeight="1">
      <c r="A60" s="3088"/>
      <c r="B60" s="3089"/>
      <c r="C60" s="3092">
        <f>SUMIF(C33:C51, "2", H33:H51)</f>
        <v>0</v>
      </c>
      <c r="D60" s="3093">
        <f t="shared" si="4"/>
        <v>0</v>
      </c>
      <c r="E60" s="4560" t="s">
        <v>2560</v>
      </c>
      <c r="F60" s="4561"/>
      <c r="G60" s="4562">
        <v>213717.6</v>
      </c>
      <c r="H60" s="4563"/>
      <c r="I60" s="4564">
        <f t="shared" si="5"/>
        <v>0</v>
      </c>
      <c r="J60" s="4564"/>
      <c r="K60" s="4554"/>
    </row>
    <row r="61" spans="1:13">
      <c r="A61" s="3088"/>
      <c r="B61" s="3089"/>
      <c r="C61" s="3092">
        <f>SUMIF(C33:C51, "3", H33:H51)</f>
        <v>0</v>
      </c>
      <c r="D61" s="3093">
        <f t="shared" si="4"/>
        <v>0</v>
      </c>
      <c r="E61" s="4560" t="s">
        <v>2563</v>
      </c>
      <c r="F61" s="4561"/>
      <c r="G61" s="4562">
        <v>276482.40000000002</v>
      </c>
      <c r="H61" s="4563"/>
      <c r="I61" s="4564">
        <f t="shared" si="5"/>
        <v>0</v>
      </c>
      <c r="J61" s="4564"/>
      <c r="K61" s="4554"/>
    </row>
    <row r="62" spans="1:13">
      <c r="A62" s="3088"/>
      <c r="B62" s="3089"/>
      <c r="C62" s="3092">
        <f>SUMIF(C33:C51, "4", H33:H51)</f>
        <v>0</v>
      </c>
      <c r="D62" s="3093">
        <f t="shared" si="4"/>
        <v>0</v>
      </c>
      <c r="E62" s="4560" t="s">
        <v>4201</v>
      </c>
      <c r="F62" s="4561"/>
      <c r="G62" s="4562">
        <v>303489.59999999998</v>
      </c>
      <c r="H62" s="4563"/>
      <c r="I62" s="4564">
        <f t="shared" si="5"/>
        <v>0</v>
      </c>
      <c r="J62" s="4564"/>
      <c r="K62" s="4554"/>
    </row>
    <row r="63" spans="1:13">
      <c r="A63" s="3094"/>
      <c r="B63" s="3095"/>
      <c r="C63" s="3096">
        <f>SUMIF(C33:C51, "5", H33:H51)</f>
        <v>0</v>
      </c>
      <c r="D63" s="3097">
        <f t="shared" si="4"/>
        <v>0</v>
      </c>
      <c r="E63" s="4566" t="s">
        <v>4202</v>
      </c>
      <c r="F63" s="4567"/>
      <c r="G63" s="4568">
        <v>303489.59999999998</v>
      </c>
      <c r="H63" s="4569"/>
      <c r="I63" s="4570">
        <f t="shared" si="5"/>
        <v>0</v>
      </c>
      <c r="J63" s="4570"/>
      <c r="K63" s="3098"/>
    </row>
    <row r="64" spans="1:13" ht="17.25" thickBot="1">
      <c r="A64" s="3099" t="s">
        <v>4203</v>
      </c>
      <c r="B64" s="3100">
        <f>SUM(C58:C63)</f>
        <v>0</v>
      </c>
      <c r="C64" s="3101"/>
      <c r="D64" s="3101">
        <f>SUM(D58:D63)</f>
        <v>0</v>
      </c>
      <c r="E64" s="3102"/>
      <c r="F64" s="3102"/>
      <c r="G64" s="3102"/>
      <c r="H64" s="3102"/>
      <c r="I64" s="3102"/>
      <c r="J64" s="3103" t="s">
        <v>4204</v>
      </c>
      <c r="K64" s="3104">
        <f>SUM(I58:I62)</f>
        <v>0</v>
      </c>
    </row>
    <row r="65" spans="1:11">
      <c r="A65" s="4548"/>
      <c r="B65" s="4548"/>
      <c r="C65" s="4548"/>
      <c r="D65" s="4548"/>
      <c r="E65" s="4548"/>
      <c r="F65" s="4548"/>
      <c r="G65" s="4548"/>
      <c r="H65" s="4548"/>
      <c r="I65" s="4548"/>
      <c r="J65" s="4548"/>
    </row>
    <row r="66" spans="1:11">
      <c r="A66" s="4538" t="s">
        <v>4205</v>
      </c>
      <c r="B66" s="4539"/>
      <c r="C66" s="4539"/>
      <c r="D66" s="4539"/>
      <c r="E66" s="4539"/>
      <c r="F66" s="4539"/>
      <c r="G66" s="4539"/>
      <c r="H66" s="4539"/>
      <c r="I66" s="4539"/>
      <c r="J66" s="4539"/>
      <c r="K66" s="4540"/>
    </row>
    <row r="67" spans="1:11" ht="15" customHeight="1">
      <c r="A67" s="3105"/>
      <c r="B67" s="3106"/>
      <c r="C67" s="3107"/>
      <c r="D67" s="3107"/>
      <c r="E67" s="3107" t="s">
        <v>4206</v>
      </c>
      <c r="F67" s="3107"/>
      <c r="G67" s="3107"/>
      <c r="H67" s="3107"/>
      <c r="I67" s="3107"/>
      <c r="J67" s="3108"/>
      <c r="K67" s="3109">
        <f>J11</f>
        <v>0</v>
      </c>
    </row>
    <row r="68" spans="1:11">
      <c r="A68" s="3110"/>
      <c r="B68" s="3051"/>
      <c r="C68" s="3111"/>
      <c r="D68" s="3111"/>
      <c r="E68" s="3111" t="s">
        <v>4207</v>
      </c>
      <c r="F68" s="3111"/>
      <c r="G68" s="3111"/>
      <c r="H68" s="3111"/>
      <c r="I68" s="3111"/>
      <c r="J68" s="3112"/>
      <c r="K68" s="3109" t="e">
        <f>K54</f>
        <v>#VALUE!</v>
      </c>
    </row>
    <row r="69" spans="1:11" ht="17.25" thickBot="1">
      <c r="A69" s="3113"/>
      <c r="B69" s="3114"/>
      <c r="C69" s="3115"/>
      <c r="D69" s="3115"/>
      <c r="E69" s="3115" t="s">
        <v>4208</v>
      </c>
      <c r="F69" s="3115"/>
      <c r="G69" s="3115"/>
      <c r="H69" s="3115"/>
      <c r="I69" s="3115"/>
      <c r="J69" s="3116"/>
      <c r="K69" s="3117">
        <f>K64</f>
        <v>0</v>
      </c>
    </row>
    <row r="70" spans="1:11" ht="17.25" thickBot="1">
      <c r="A70" s="3118"/>
      <c r="B70" s="3119"/>
      <c r="C70" s="4565" t="s">
        <v>4209</v>
      </c>
      <c r="D70" s="4565"/>
      <c r="E70" s="4565"/>
      <c r="F70" s="4565"/>
      <c r="G70" s="4565"/>
      <c r="H70" s="4565"/>
      <c r="I70" s="4565"/>
      <c r="J70" s="4565"/>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6qPAOuNQBsNet21dCstwHBAg1XKQW6GJ1zLvpnTC+ktS35xltg+pD0jwLsDiybL/ePKVX5yxhFvMLDE+kILr2Q==" saltValue="CwvajOXup6K7DPckpLCA+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582" t="str">
        <f>'Part I-Project Information'!F35</f>
        <v>Hunters Haven</v>
      </c>
      <c r="E3" s="4583"/>
      <c r="F3" s="4583"/>
      <c r="G3" s="4583"/>
      <c r="H3" s="4583"/>
      <c r="I3" s="4583"/>
      <c r="J3" s="4588" t="s">
        <v>4173</v>
      </c>
      <c r="K3" s="4589"/>
    </row>
    <row r="4" spans="1:11" ht="15" customHeight="1">
      <c r="A4" s="1415" t="s">
        <v>4171</v>
      </c>
      <c r="B4" s="1416"/>
      <c r="C4" s="1417"/>
      <c r="D4" s="4584" t="str">
        <f>CONCATENATE('Part I-Project Information'!F36,", ",'Part I-Project Information'!F39,", GA ",'Part I-Project Information'!J39," (",'Part I-Project Information'!J40," Co.)",)</f>
        <v>, Flemington, GA 313133427 (Liberty Co.)</v>
      </c>
      <c r="E4" s="4585"/>
      <c r="F4" s="4585"/>
      <c r="G4" s="4585"/>
      <c r="H4" s="4585"/>
      <c r="I4" s="4585"/>
      <c r="J4" s="4590" t="s">
        <v>4212</v>
      </c>
      <c r="K4" s="4591"/>
    </row>
    <row r="5" spans="1:11" ht="15" customHeight="1" thickBot="1">
      <c r="A5" s="1418" t="s">
        <v>4172</v>
      </c>
      <c r="B5" s="1419"/>
      <c r="C5" s="1420"/>
      <c r="D5" s="4586"/>
      <c r="E5" s="4587"/>
      <c r="F5" s="4587"/>
      <c r="G5" s="4587"/>
      <c r="H5" s="4587"/>
      <c r="I5" s="4587"/>
      <c r="J5" s="4592"/>
      <c r="K5" s="4593"/>
    </row>
    <row r="6" spans="1:11" ht="9" customHeight="1" thickBot="1">
      <c r="E6" s="1410"/>
    </row>
    <row r="7" spans="1:11">
      <c r="A7" s="4579" t="s">
        <v>4174</v>
      </c>
      <c r="B7" s="4580"/>
      <c r="C7" s="4580"/>
      <c r="D7" s="4580"/>
      <c r="E7" s="4580"/>
      <c r="F7" s="4580"/>
      <c r="G7" s="4580"/>
      <c r="H7" s="4580"/>
      <c r="I7" s="4580"/>
      <c r="J7" s="4580"/>
      <c r="K7" s="4581"/>
    </row>
    <row r="8" spans="1:11" ht="14.25" customHeight="1">
      <c r="A8" s="1436"/>
      <c r="B8" s="1436"/>
      <c r="C8" s="1450">
        <v>1</v>
      </c>
      <c r="D8" s="1437" t="s">
        <v>4175</v>
      </c>
      <c r="E8" s="1437"/>
      <c r="F8" s="1437"/>
      <c r="G8" s="1437"/>
      <c r="H8" s="1437"/>
      <c r="I8" s="1437"/>
      <c r="J8" s="4652"/>
      <c r="K8" s="4653"/>
    </row>
    <row r="9" spans="1:11" ht="7.15" customHeight="1">
      <c r="A9" s="4596"/>
      <c r="B9" s="4596"/>
      <c r="C9" s="4596"/>
      <c r="D9" s="4597"/>
      <c r="E9" s="4597"/>
      <c r="F9" s="4597"/>
      <c r="G9" s="4597"/>
      <c r="H9" s="4597"/>
      <c r="I9" s="4597"/>
      <c r="J9" s="4597"/>
      <c r="K9" s="1438"/>
    </row>
    <row r="10" spans="1:11">
      <c r="A10" s="4601" t="s">
        <v>4176</v>
      </c>
      <c r="B10" s="4602"/>
      <c r="C10" s="4602"/>
      <c r="D10" s="4602"/>
      <c r="E10" s="4602"/>
      <c r="F10" s="4602"/>
      <c r="G10" s="4602"/>
      <c r="H10" s="4602"/>
      <c r="I10" s="4602"/>
      <c r="J10" s="4602"/>
      <c r="K10" s="4603"/>
    </row>
    <row r="11" spans="1:11" ht="14.25" customHeight="1">
      <c r="A11" s="1436"/>
      <c r="B11" s="1436"/>
      <c r="C11" s="1450">
        <v>2</v>
      </c>
      <c r="D11" s="1437" t="s">
        <v>4177</v>
      </c>
      <c r="E11" s="1439"/>
      <c r="F11" s="1439"/>
      <c r="G11" s="1439"/>
      <c r="H11" s="1439"/>
      <c r="I11" s="1439"/>
      <c r="J11" s="4650"/>
      <c r="K11" s="4651"/>
    </row>
    <row r="12" spans="1:11" ht="7.15" customHeight="1">
      <c r="A12" s="4596"/>
      <c r="B12" s="4596"/>
      <c r="C12" s="4596"/>
      <c r="D12" s="4597"/>
      <c r="E12" s="4597"/>
      <c r="F12" s="4597"/>
      <c r="G12" s="4597"/>
      <c r="H12" s="4597"/>
      <c r="I12" s="4597"/>
      <c r="J12" s="4597"/>
      <c r="K12" s="1440"/>
    </row>
    <row r="13" spans="1:11">
      <c r="A13" s="4601" t="s">
        <v>4178</v>
      </c>
      <c r="B13" s="4602"/>
      <c r="C13" s="4602"/>
      <c r="D13" s="4602"/>
      <c r="E13" s="4602"/>
      <c r="F13" s="4602"/>
      <c r="G13" s="4602"/>
      <c r="H13" s="4602"/>
      <c r="I13" s="4602"/>
      <c r="J13" s="4602"/>
      <c r="K13" s="4603"/>
    </row>
    <row r="14" spans="1:11" ht="14.25" customHeight="1">
      <c r="A14" s="1416"/>
      <c r="B14" s="1416"/>
      <c r="C14" s="1451">
        <v>3</v>
      </c>
      <c r="D14" s="1441" t="s">
        <v>4179</v>
      </c>
      <c r="E14" s="1441"/>
      <c r="F14" s="1441"/>
      <c r="G14" s="1441"/>
      <c r="H14" s="1441"/>
      <c r="I14" s="1441"/>
      <c r="J14" s="4648"/>
      <c r="K14" s="4649"/>
    </row>
    <row r="15" spans="1:11" ht="14.25" customHeight="1">
      <c r="A15" s="1416"/>
      <c r="B15" s="1416"/>
      <c r="C15" s="1452">
        <v>4</v>
      </c>
      <c r="D15" s="1416" t="s">
        <v>4180</v>
      </c>
      <c r="E15" s="1416"/>
      <c r="F15" s="1416"/>
      <c r="G15" s="1416"/>
      <c r="H15" s="1416"/>
      <c r="I15" s="1416"/>
      <c r="J15" s="4646"/>
      <c r="K15" s="4647"/>
    </row>
    <row r="16" spans="1:11" ht="14.25" customHeight="1">
      <c r="A16" s="1416"/>
      <c r="B16" s="1416"/>
      <c r="C16" s="1452">
        <v>5</v>
      </c>
      <c r="D16" s="1416" t="s">
        <v>4181</v>
      </c>
      <c r="E16" s="1416"/>
      <c r="F16" s="1416"/>
      <c r="G16" s="1416"/>
      <c r="H16" s="1416"/>
      <c r="I16" s="1416"/>
      <c r="J16" s="4646"/>
      <c r="K16" s="4647"/>
    </row>
    <row r="17" spans="1:13" ht="14.25" customHeight="1">
      <c r="A17" s="1436"/>
      <c r="B17" s="1436"/>
      <c r="C17" s="1453">
        <v>6</v>
      </c>
      <c r="D17" s="1419" t="s">
        <v>4182</v>
      </c>
      <c r="E17" s="1419"/>
      <c r="F17" s="1419"/>
      <c r="G17" s="1419"/>
      <c r="H17" s="1419"/>
      <c r="I17" s="1419"/>
      <c r="J17" s="4660"/>
      <c r="K17" s="4661"/>
    </row>
    <row r="18" spans="1:13" ht="7.15" customHeight="1">
      <c r="A18" s="4596"/>
      <c r="B18" s="4596"/>
      <c r="C18" s="4596"/>
      <c r="D18" s="4597"/>
      <c r="E18" s="4597"/>
      <c r="F18" s="4597"/>
      <c r="G18" s="4597"/>
      <c r="H18" s="4597"/>
      <c r="I18" s="4597"/>
      <c r="J18" s="4597"/>
      <c r="K18" s="1440"/>
    </row>
    <row r="19" spans="1:13" ht="14.25" customHeight="1">
      <c r="A19" s="1416"/>
      <c r="B19" s="1416"/>
      <c r="C19" s="1451">
        <v>7</v>
      </c>
      <c r="D19" s="1441" t="s">
        <v>4183</v>
      </c>
      <c r="E19" s="1441"/>
      <c r="F19" s="1441"/>
      <c r="G19" s="1441"/>
      <c r="H19" s="1441"/>
      <c r="I19" s="1441"/>
      <c r="J19" s="4658" t="str">
        <f>IF(J17="No",J14-J15,IF(J17="Yes",J14-J15-J16,"Error"))</f>
        <v>Error</v>
      </c>
      <c r="K19" s="4659"/>
    </row>
    <row r="20" spans="1:13" ht="14.25" customHeight="1">
      <c r="A20" s="1436"/>
      <c r="B20" s="1436"/>
      <c r="C20" s="1453">
        <v>8</v>
      </c>
      <c r="D20" s="1419" t="s">
        <v>4184</v>
      </c>
      <c r="E20" s="1419"/>
      <c r="F20" s="1419"/>
      <c r="G20" s="1419"/>
      <c r="H20" s="1419"/>
      <c r="I20" s="1419"/>
      <c r="J20" s="4656" t="e">
        <f>ROUNDDOWN(J19/J8,2)</f>
        <v>#VALUE!</v>
      </c>
      <c r="K20" s="4657"/>
    </row>
    <row r="21" spans="1:13" ht="7.15" customHeight="1">
      <c r="A21" s="4596"/>
      <c r="B21" s="4596"/>
      <c r="C21" s="4596"/>
      <c r="D21" s="4597"/>
      <c r="E21" s="4597"/>
      <c r="F21" s="4597"/>
      <c r="G21" s="4597"/>
      <c r="H21" s="4597"/>
      <c r="I21" s="4597"/>
      <c r="J21" s="4597"/>
      <c r="K21" s="1440"/>
    </row>
    <row r="22" spans="1:13" ht="14.25" customHeight="1" thickBot="1">
      <c r="A22" s="1416"/>
      <c r="B22" s="1416"/>
      <c r="C22" s="1450">
        <v>9</v>
      </c>
      <c r="D22" s="1442" t="s">
        <v>4185</v>
      </c>
      <c r="E22" s="1442"/>
      <c r="F22" s="1442"/>
      <c r="G22" s="1442"/>
      <c r="H22" s="1442"/>
      <c r="I22" s="1442"/>
      <c r="J22" s="4654" t="e">
        <f>J11/J19</f>
        <v>#VALUE!</v>
      </c>
      <c r="K22" s="4655"/>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5" t="s">
        <v>4216</v>
      </c>
      <c r="B30" s="4636"/>
      <c r="C30" s="4636"/>
      <c r="D30" s="4636"/>
      <c r="E30" s="4636"/>
      <c r="F30" s="4636"/>
      <c r="G30" s="4636"/>
      <c r="H30" s="4636"/>
      <c r="I30" s="4636"/>
      <c r="J30" s="4636"/>
      <c r="K30" s="4637"/>
    </row>
    <row r="31" spans="1:13">
      <c r="A31" s="1434"/>
      <c r="B31" s="4638" t="s">
        <v>4173</v>
      </c>
      <c r="C31" s="4638"/>
      <c r="D31" s="4638"/>
      <c r="E31" s="4638"/>
      <c r="F31" s="4638"/>
      <c r="G31" s="4598" t="s">
        <v>4187</v>
      </c>
      <c r="H31" s="4599"/>
      <c r="I31" s="4599"/>
      <c r="J31" s="4599"/>
      <c r="K31" s="4600"/>
    </row>
    <row r="32" spans="1:13" ht="56.25" customHeight="1">
      <c r="A32" s="1435"/>
      <c r="B32" s="1454" t="s">
        <v>4215</v>
      </c>
      <c r="C32" s="1455" t="s">
        <v>4211</v>
      </c>
      <c r="D32" s="1455" t="s">
        <v>4210</v>
      </c>
      <c r="E32" s="4604" t="s">
        <v>6313</v>
      </c>
      <c r="F32" s="4605"/>
      <c r="G32" s="1456" t="s">
        <v>4188</v>
      </c>
      <c r="H32" s="1456" t="s">
        <v>4189</v>
      </c>
      <c r="J32" s="1456" t="s">
        <v>4190</v>
      </c>
      <c r="K32" s="1456" t="s">
        <v>4191</v>
      </c>
      <c r="L32" s="4633" t="s">
        <v>4192</v>
      </c>
      <c r="M32" s="4633"/>
    </row>
    <row r="33" spans="2:14" ht="12.75" customHeight="1">
      <c r="B33" s="1569"/>
      <c r="C33" s="1570"/>
      <c r="D33" s="1571"/>
      <c r="E33" s="4606"/>
      <c r="F33" s="4607"/>
      <c r="G33" s="1476" t="e">
        <f t="shared" ref="G33:G51" si="0">$J$22*B33</f>
        <v>#VALUE!</v>
      </c>
      <c r="H33" s="1477" t="e">
        <f>ROUNDUP(G33,0)</f>
        <v>#VALUE!</v>
      </c>
      <c r="I33" s="1478"/>
      <c r="J33" s="1479" t="e">
        <f t="shared" ref="J33:J51" si="1">$J$20*E33</f>
        <v>#VALUE!</v>
      </c>
      <c r="K33" s="1479" t="e">
        <f t="shared" ref="K33:K51" si="2">ROUNDDOWN(J33*H33,0)</f>
        <v>#VALUE!</v>
      </c>
      <c r="L33" s="4633"/>
      <c r="M33" s="4633"/>
    </row>
    <row r="34" spans="2:14" ht="12.75" customHeight="1">
      <c r="B34" s="1572"/>
      <c r="C34" s="1573"/>
      <c r="D34" s="1574"/>
      <c r="E34" s="4608"/>
      <c r="F34" s="4609"/>
      <c r="G34" s="1480" t="e">
        <f t="shared" si="0"/>
        <v>#VALUE!</v>
      </c>
      <c r="H34" s="1481" t="e">
        <f t="shared" ref="H34:H51" si="3">ROUNDUP(G34,0)</f>
        <v>#VALUE!</v>
      </c>
      <c r="I34" s="1478"/>
      <c r="J34" s="1482" t="e">
        <f t="shared" si="1"/>
        <v>#VALUE!</v>
      </c>
      <c r="K34" s="1482" t="e">
        <f t="shared" si="2"/>
        <v>#VALUE!</v>
      </c>
      <c r="L34" s="4633"/>
      <c r="M34" s="4633"/>
    </row>
    <row r="35" spans="2:14" ht="12.75" customHeight="1">
      <c r="B35" s="1572"/>
      <c r="C35" s="1573"/>
      <c r="D35" s="1574"/>
      <c r="E35" s="4608"/>
      <c r="F35" s="4609"/>
      <c r="G35" s="1480" t="e">
        <f t="shared" si="0"/>
        <v>#VALUE!</v>
      </c>
      <c r="H35" s="1481" t="e">
        <f t="shared" si="3"/>
        <v>#VALUE!</v>
      </c>
      <c r="I35" s="1478"/>
      <c r="J35" s="1482" t="e">
        <f t="shared" si="1"/>
        <v>#VALUE!</v>
      </c>
      <c r="K35" s="1482" t="e">
        <f t="shared" si="2"/>
        <v>#VALUE!</v>
      </c>
      <c r="L35" s="4633"/>
      <c r="M35" s="4633"/>
    </row>
    <row r="36" spans="2:14" ht="12.75" customHeight="1">
      <c r="B36" s="1572"/>
      <c r="C36" s="1573"/>
      <c r="D36" s="1574"/>
      <c r="E36" s="4608"/>
      <c r="F36" s="4609"/>
      <c r="G36" s="1480" t="e">
        <f t="shared" si="0"/>
        <v>#VALUE!</v>
      </c>
      <c r="H36" s="1481" t="e">
        <f t="shared" si="3"/>
        <v>#VALUE!</v>
      </c>
      <c r="I36" s="1478"/>
      <c r="J36" s="1482" t="e">
        <f t="shared" si="1"/>
        <v>#VALUE!</v>
      </c>
      <c r="K36" s="1482" t="e">
        <f t="shared" si="2"/>
        <v>#VALUE!</v>
      </c>
      <c r="L36" s="4633"/>
      <c r="M36" s="4633"/>
      <c r="N36" s="1429"/>
    </row>
    <row r="37" spans="2:14" ht="12.75" customHeight="1">
      <c r="B37" s="1572"/>
      <c r="C37" s="1573"/>
      <c r="D37" s="1574"/>
      <c r="E37" s="4608"/>
      <c r="F37" s="4609"/>
      <c r="G37" s="1480" t="e">
        <f t="shared" si="0"/>
        <v>#VALUE!</v>
      </c>
      <c r="H37" s="1481" t="e">
        <f t="shared" si="3"/>
        <v>#VALUE!</v>
      </c>
      <c r="I37" s="1478"/>
      <c r="J37" s="1482" t="e">
        <f t="shared" si="1"/>
        <v>#VALUE!</v>
      </c>
      <c r="K37" s="1482" t="e">
        <f t="shared" si="2"/>
        <v>#VALUE!</v>
      </c>
      <c r="L37" s="4633"/>
      <c r="M37" s="4633"/>
    </row>
    <row r="38" spans="2:14" ht="12.75" customHeight="1">
      <c r="B38" s="1572"/>
      <c r="C38" s="1573"/>
      <c r="D38" s="1574"/>
      <c r="E38" s="4608"/>
      <c r="F38" s="4609"/>
      <c r="G38" s="1480" t="e">
        <f t="shared" si="0"/>
        <v>#VALUE!</v>
      </c>
      <c r="H38" s="1481" t="e">
        <f t="shared" si="3"/>
        <v>#VALUE!</v>
      </c>
      <c r="I38" s="1478"/>
      <c r="J38" s="1482" t="e">
        <f t="shared" si="1"/>
        <v>#VALUE!</v>
      </c>
      <c r="K38" s="1482" t="e">
        <f t="shared" si="2"/>
        <v>#VALUE!</v>
      </c>
      <c r="L38" s="4633"/>
      <c r="M38" s="4633"/>
    </row>
    <row r="39" spans="2:14" ht="12.75" customHeight="1">
      <c r="B39" s="1572"/>
      <c r="C39" s="1573"/>
      <c r="D39" s="1574"/>
      <c r="E39" s="4608"/>
      <c r="F39" s="4609"/>
      <c r="G39" s="1480" t="e">
        <f t="shared" si="0"/>
        <v>#VALUE!</v>
      </c>
      <c r="H39" s="1481" t="e">
        <f t="shared" si="3"/>
        <v>#VALUE!</v>
      </c>
      <c r="I39" s="1478"/>
      <c r="J39" s="1482" t="e">
        <f t="shared" si="1"/>
        <v>#VALUE!</v>
      </c>
      <c r="K39" s="1482" t="e">
        <f t="shared" si="2"/>
        <v>#VALUE!</v>
      </c>
      <c r="L39" s="4633"/>
      <c r="M39" s="4633"/>
    </row>
    <row r="40" spans="2:14" ht="12.75" customHeight="1">
      <c r="B40" s="1572"/>
      <c r="C40" s="1573"/>
      <c r="D40" s="1574"/>
      <c r="E40" s="4608"/>
      <c r="F40" s="4609"/>
      <c r="G40" s="1480" t="e">
        <f t="shared" si="0"/>
        <v>#VALUE!</v>
      </c>
      <c r="H40" s="1481" t="e">
        <f t="shared" si="3"/>
        <v>#VALUE!</v>
      </c>
      <c r="I40" s="1478"/>
      <c r="J40" s="1482" t="e">
        <f t="shared" si="1"/>
        <v>#VALUE!</v>
      </c>
      <c r="K40" s="1482" t="e">
        <f t="shared" si="2"/>
        <v>#VALUE!</v>
      </c>
      <c r="L40" s="4633"/>
      <c r="M40" s="4633"/>
    </row>
    <row r="41" spans="2:14" ht="12.75" customHeight="1">
      <c r="B41" s="1572"/>
      <c r="C41" s="1573"/>
      <c r="D41" s="1574"/>
      <c r="E41" s="4608"/>
      <c r="F41" s="4609"/>
      <c r="G41" s="1480" t="e">
        <f t="shared" si="0"/>
        <v>#VALUE!</v>
      </c>
      <c r="H41" s="1481" t="e">
        <f t="shared" si="3"/>
        <v>#VALUE!</v>
      </c>
      <c r="I41" s="1478"/>
      <c r="J41" s="1482" t="e">
        <f t="shared" si="1"/>
        <v>#VALUE!</v>
      </c>
      <c r="K41" s="1482" t="e">
        <f t="shared" si="2"/>
        <v>#VALUE!</v>
      </c>
      <c r="L41" s="4633"/>
      <c r="M41" s="4633"/>
    </row>
    <row r="42" spans="2:14" ht="12.75" customHeight="1">
      <c r="B42" s="1572"/>
      <c r="C42" s="1573"/>
      <c r="D42" s="1574"/>
      <c r="E42" s="4608"/>
      <c r="F42" s="4609"/>
      <c r="G42" s="1480" t="e">
        <f t="shared" si="0"/>
        <v>#VALUE!</v>
      </c>
      <c r="H42" s="1481" t="e">
        <f>ROUNDUP(G42,0)</f>
        <v>#VALUE!</v>
      </c>
      <c r="I42" s="1478"/>
      <c r="J42" s="1482" t="e">
        <f t="shared" si="1"/>
        <v>#VALUE!</v>
      </c>
      <c r="K42" s="1482" t="e">
        <f t="shared" si="2"/>
        <v>#VALUE!</v>
      </c>
      <c r="L42" s="4633"/>
      <c r="M42" s="4633"/>
    </row>
    <row r="43" spans="2:14" ht="12.75" customHeight="1">
      <c r="B43" s="1572"/>
      <c r="C43" s="1573"/>
      <c r="D43" s="1574"/>
      <c r="E43" s="4608"/>
      <c r="F43" s="4609"/>
      <c r="G43" s="1480" t="e">
        <f t="shared" si="0"/>
        <v>#VALUE!</v>
      </c>
      <c r="H43" s="1481" t="e">
        <f>ROUNDUP(G43,0)</f>
        <v>#VALUE!</v>
      </c>
      <c r="I43" s="1478"/>
      <c r="J43" s="1482" t="e">
        <f t="shared" si="1"/>
        <v>#VALUE!</v>
      </c>
      <c r="K43" s="1482" t="e">
        <f t="shared" si="2"/>
        <v>#VALUE!</v>
      </c>
      <c r="L43" s="4633"/>
      <c r="M43" s="4633"/>
    </row>
    <row r="44" spans="2:14" ht="12.75" customHeight="1">
      <c r="B44" s="1572"/>
      <c r="C44" s="1573"/>
      <c r="D44" s="1574"/>
      <c r="E44" s="4608"/>
      <c r="F44" s="4609"/>
      <c r="G44" s="1480" t="e">
        <f t="shared" si="0"/>
        <v>#VALUE!</v>
      </c>
      <c r="H44" s="1481" t="e">
        <f>ROUNDUP(G44,0)</f>
        <v>#VALUE!</v>
      </c>
      <c r="I44" s="1478"/>
      <c r="J44" s="1482" t="e">
        <f t="shared" si="1"/>
        <v>#VALUE!</v>
      </c>
      <c r="K44" s="1482" t="e">
        <f t="shared" si="2"/>
        <v>#VALUE!</v>
      </c>
      <c r="L44" s="4633"/>
      <c r="M44" s="4633"/>
    </row>
    <row r="45" spans="2:14" ht="12.75" customHeight="1">
      <c r="B45" s="1572"/>
      <c r="C45" s="1573"/>
      <c r="D45" s="1574"/>
      <c r="E45" s="4608"/>
      <c r="F45" s="4609"/>
      <c r="G45" s="1480" t="e">
        <f t="shared" si="0"/>
        <v>#VALUE!</v>
      </c>
      <c r="H45" s="1481" t="e">
        <f>ROUNDUP(G45,0)</f>
        <v>#VALUE!</v>
      </c>
      <c r="I45" s="1478"/>
      <c r="J45" s="1482" t="e">
        <f t="shared" si="1"/>
        <v>#VALUE!</v>
      </c>
      <c r="K45" s="1482" t="e">
        <f t="shared" si="2"/>
        <v>#VALUE!</v>
      </c>
      <c r="L45" s="4633"/>
      <c r="M45" s="4633"/>
    </row>
    <row r="46" spans="2:14" ht="12.75" customHeight="1">
      <c r="B46" s="1572"/>
      <c r="C46" s="1573"/>
      <c r="D46" s="1574"/>
      <c r="E46" s="4608"/>
      <c r="F46" s="4609"/>
      <c r="G46" s="1480" t="e">
        <f t="shared" si="0"/>
        <v>#VALUE!</v>
      </c>
      <c r="H46" s="1481" t="e">
        <f t="shared" si="3"/>
        <v>#VALUE!</v>
      </c>
      <c r="I46" s="1478"/>
      <c r="J46" s="1482" t="e">
        <f t="shared" si="1"/>
        <v>#VALUE!</v>
      </c>
      <c r="K46" s="1482" t="e">
        <f t="shared" si="2"/>
        <v>#VALUE!</v>
      </c>
      <c r="L46" s="4633"/>
      <c r="M46" s="4633"/>
    </row>
    <row r="47" spans="2:14" ht="12.75" customHeight="1">
      <c r="B47" s="1572"/>
      <c r="C47" s="1573"/>
      <c r="D47" s="1574"/>
      <c r="E47" s="4608"/>
      <c r="F47" s="4609"/>
      <c r="G47" s="1480" t="e">
        <f t="shared" si="0"/>
        <v>#VALUE!</v>
      </c>
      <c r="H47" s="1481" t="e">
        <f t="shared" si="3"/>
        <v>#VALUE!</v>
      </c>
      <c r="I47" s="1478"/>
      <c r="J47" s="1482" t="e">
        <f t="shared" si="1"/>
        <v>#VALUE!</v>
      </c>
      <c r="K47" s="1482" t="e">
        <f t="shared" si="2"/>
        <v>#VALUE!</v>
      </c>
      <c r="L47" s="4633"/>
      <c r="M47" s="4633"/>
    </row>
    <row r="48" spans="2:14" ht="12.75" customHeight="1">
      <c r="B48" s="1572"/>
      <c r="C48" s="1573"/>
      <c r="D48" s="1574"/>
      <c r="E48" s="4608"/>
      <c r="F48" s="4609"/>
      <c r="G48" s="1480" t="e">
        <f t="shared" si="0"/>
        <v>#VALUE!</v>
      </c>
      <c r="H48" s="1481" t="e">
        <f>ROUNDUP(G48,0)</f>
        <v>#VALUE!</v>
      </c>
      <c r="I48" s="1478"/>
      <c r="J48" s="1482" t="e">
        <f t="shared" si="1"/>
        <v>#VALUE!</v>
      </c>
      <c r="K48" s="1482" t="e">
        <f t="shared" si="2"/>
        <v>#VALUE!</v>
      </c>
      <c r="L48" s="4633"/>
      <c r="M48" s="4633"/>
    </row>
    <row r="49" spans="1:13" ht="12.75" customHeight="1">
      <c r="B49" s="1572"/>
      <c r="C49" s="1573"/>
      <c r="D49" s="1574"/>
      <c r="E49" s="4608"/>
      <c r="F49" s="4609"/>
      <c r="G49" s="1480" t="e">
        <f t="shared" si="0"/>
        <v>#VALUE!</v>
      </c>
      <c r="H49" s="1481" t="e">
        <f t="shared" si="3"/>
        <v>#VALUE!</v>
      </c>
      <c r="I49" s="1478"/>
      <c r="J49" s="1482" t="e">
        <f t="shared" si="1"/>
        <v>#VALUE!</v>
      </c>
      <c r="K49" s="1482" t="e">
        <f t="shared" si="2"/>
        <v>#VALUE!</v>
      </c>
      <c r="L49" s="4633"/>
      <c r="M49" s="4633"/>
    </row>
    <row r="50" spans="1:13" ht="12.75" customHeight="1">
      <c r="B50" s="1572"/>
      <c r="C50" s="1573"/>
      <c r="D50" s="1574"/>
      <c r="E50" s="4608"/>
      <c r="F50" s="4609"/>
      <c r="G50" s="1480" t="e">
        <f t="shared" si="0"/>
        <v>#VALUE!</v>
      </c>
      <c r="H50" s="1481" t="e">
        <f t="shared" si="3"/>
        <v>#VALUE!</v>
      </c>
      <c r="I50" s="1478"/>
      <c r="J50" s="1482" t="e">
        <f t="shared" si="1"/>
        <v>#VALUE!</v>
      </c>
      <c r="K50" s="1482" t="e">
        <f t="shared" si="2"/>
        <v>#VALUE!</v>
      </c>
      <c r="L50" s="4633"/>
      <c r="M50" s="4633"/>
    </row>
    <row r="51" spans="1:13" ht="12.75" customHeight="1" thickBot="1">
      <c r="B51" s="1575"/>
      <c r="C51" s="1576"/>
      <c r="D51" s="1577"/>
      <c r="E51" s="4644"/>
      <c r="F51" s="4645"/>
      <c r="G51" s="1483" t="e">
        <f t="shared" si="0"/>
        <v>#VALUE!</v>
      </c>
      <c r="H51" s="1484" t="e">
        <f t="shared" si="3"/>
        <v>#VALUE!</v>
      </c>
      <c r="I51" s="1478"/>
      <c r="J51" s="1485" t="e">
        <f t="shared" si="1"/>
        <v>#VALUE!</v>
      </c>
      <c r="K51" s="1485" t="e">
        <f t="shared" si="2"/>
        <v>#VALUE!</v>
      </c>
      <c r="L51" s="4633"/>
      <c r="M51" s="4633"/>
    </row>
    <row r="52" spans="1:13" ht="15" customHeight="1" thickBot="1">
      <c r="A52" s="1434"/>
      <c r="B52" s="1447"/>
      <c r="D52" s="1441"/>
      <c r="E52" s="1441"/>
      <c r="F52" s="1441"/>
      <c r="G52" s="1459" t="s">
        <v>4193</v>
      </c>
      <c r="H52" s="1458" t="e">
        <f>SUM(H33:H51)</f>
        <v>#VALUE!</v>
      </c>
      <c r="I52" s="1441"/>
      <c r="J52" s="1447" t="s">
        <v>4194</v>
      </c>
      <c r="K52" s="1443" t="e">
        <f>SUM(K33:K51)</f>
        <v>#VALUE!</v>
      </c>
      <c r="L52" s="4633"/>
      <c r="M52" s="4633"/>
    </row>
    <row r="53" spans="1:13" ht="15" customHeight="1">
      <c r="A53" s="1434"/>
      <c r="B53" s="1448"/>
      <c r="C53" s="4610" t="s">
        <v>4195</v>
      </c>
      <c r="D53" s="4610"/>
      <c r="E53" s="4610"/>
      <c r="F53" s="4610"/>
      <c r="G53" s="4610"/>
      <c r="H53" s="4610"/>
      <c r="I53" s="4610"/>
      <c r="J53" s="4611"/>
      <c r="K53" s="1449" t="str">
        <f>IF(J17="no",0,IF(J17="yes",J16,"Error"))</f>
        <v>Error</v>
      </c>
      <c r="L53" s="4633"/>
      <c r="M53" s="4633"/>
    </row>
    <row r="54" spans="1:13" ht="15" customHeight="1" thickBot="1">
      <c r="A54" s="1434"/>
      <c r="B54" s="1448"/>
      <c r="C54" s="4612" t="s">
        <v>4196</v>
      </c>
      <c r="D54" s="4612"/>
      <c r="E54" s="4612"/>
      <c r="F54" s="4612"/>
      <c r="G54" s="4612"/>
      <c r="H54" s="4612"/>
      <c r="I54" s="4612"/>
      <c r="J54" s="4613"/>
      <c r="K54" s="1461" t="e">
        <f>K52+K53</f>
        <v>#VALUE!</v>
      </c>
    </row>
    <row r="55" spans="1:13" ht="7.9" customHeight="1">
      <c r="A55" s="4614"/>
      <c r="B55" s="4615"/>
      <c r="C55" s="4615"/>
      <c r="D55" s="4615"/>
      <c r="E55" s="4615"/>
      <c r="F55" s="4615"/>
      <c r="G55" s="4615"/>
      <c r="H55" s="4615"/>
      <c r="I55" s="4615"/>
      <c r="J55" s="4615"/>
      <c r="K55" s="1475"/>
    </row>
    <row r="56" spans="1:13" ht="15" customHeight="1">
      <c r="A56" s="4620" t="s">
        <v>4197</v>
      </c>
      <c r="B56" s="4621"/>
      <c r="C56" s="4621"/>
      <c r="D56" s="4621"/>
      <c r="E56" s="4621"/>
      <c r="F56" s="4621"/>
      <c r="G56" s="4621"/>
      <c r="H56" s="4621"/>
      <c r="I56" s="4621"/>
      <c r="J56" s="4621"/>
      <c r="K56" s="4622"/>
    </row>
    <row r="57" spans="1:13" ht="48" customHeight="1">
      <c r="A57" s="1431"/>
      <c r="B57" s="1422"/>
      <c r="C57" s="1433" t="s">
        <v>4198</v>
      </c>
      <c r="D57" s="1555" t="s">
        <v>6273</v>
      </c>
      <c r="E57" s="4616" t="s">
        <v>4214</v>
      </c>
      <c r="F57" s="4617"/>
      <c r="G57" s="4618" t="s">
        <v>4199</v>
      </c>
      <c r="H57" s="4619"/>
      <c r="I57" s="4616" t="s">
        <v>4213</v>
      </c>
      <c r="J57" s="4617"/>
      <c r="K57" s="4623"/>
    </row>
    <row r="58" spans="1:13" ht="15" customHeight="1">
      <c r="A58" s="1532"/>
      <c r="B58" s="1552"/>
      <c r="C58" s="1444">
        <f>SUMIF(C33:C51, "0", H33:H51)</f>
        <v>0</v>
      </c>
      <c r="D58" s="1556">
        <f t="shared" ref="D58:D63" si="4">ROUNDUP(C58*1.1,0)</f>
        <v>0</v>
      </c>
      <c r="E58" s="4625" t="s">
        <v>4200</v>
      </c>
      <c r="F58" s="4626"/>
      <c r="G58" s="4627">
        <v>153314.4</v>
      </c>
      <c r="H58" s="4628"/>
      <c r="I58" s="4629">
        <f t="shared" ref="I58:I63" si="5">D58*G58</f>
        <v>0</v>
      </c>
      <c r="J58" s="4629"/>
      <c r="K58" s="4624"/>
    </row>
    <row r="59" spans="1:13">
      <c r="A59" s="1532"/>
      <c r="B59" s="1552"/>
      <c r="C59" s="1445">
        <f>SUMIF(C33:C51, "1", H33:H51)</f>
        <v>0</v>
      </c>
      <c r="D59" s="1557">
        <f t="shared" si="4"/>
        <v>0</v>
      </c>
      <c r="E59" s="4630" t="s">
        <v>2559</v>
      </c>
      <c r="F59" s="4631"/>
      <c r="G59" s="4594">
        <v>175752</v>
      </c>
      <c r="H59" s="4595"/>
      <c r="I59" s="4632">
        <f t="shared" si="5"/>
        <v>0</v>
      </c>
      <c r="J59" s="4632"/>
      <c r="K59" s="4624"/>
    </row>
    <row r="60" spans="1:13" ht="15" customHeight="1">
      <c r="A60" s="1532"/>
      <c r="B60" s="1552"/>
      <c r="C60" s="1445">
        <f>SUMIF(C33:C51, "2", H33:H51)</f>
        <v>0</v>
      </c>
      <c r="D60" s="1557">
        <f t="shared" si="4"/>
        <v>0</v>
      </c>
      <c r="E60" s="4630" t="s">
        <v>2560</v>
      </c>
      <c r="F60" s="4631"/>
      <c r="G60" s="4594">
        <v>213717.6</v>
      </c>
      <c r="H60" s="4595"/>
      <c r="I60" s="4632">
        <f t="shared" si="5"/>
        <v>0</v>
      </c>
      <c r="J60" s="4632"/>
      <c r="K60" s="4624"/>
    </row>
    <row r="61" spans="1:13">
      <c r="A61" s="1532"/>
      <c r="B61" s="1552"/>
      <c r="C61" s="1445">
        <f>SUMIF(C33:C51, "3", H33:H51)</f>
        <v>0</v>
      </c>
      <c r="D61" s="1557">
        <f t="shared" si="4"/>
        <v>0</v>
      </c>
      <c r="E61" s="4630" t="s">
        <v>2563</v>
      </c>
      <c r="F61" s="4631"/>
      <c r="G61" s="4594">
        <v>276482.40000000002</v>
      </c>
      <c r="H61" s="4595"/>
      <c r="I61" s="4632">
        <f t="shared" si="5"/>
        <v>0</v>
      </c>
      <c r="J61" s="4632"/>
      <c r="K61" s="4624"/>
    </row>
    <row r="62" spans="1:13">
      <c r="A62" s="1532"/>
      <c r="B62" s="1552"/>
      <c r="C62" s="1445">
        <f>SUMIF(C33:C51, "4", H33:H51)</f>
        <v>0</v>
      </c>
      <c r="D62" s="1557">
        <f t="shared" si="4"/>
        <v>0</v>
      </c>
      <c r="E62" s="4630" t="s">
        <v>4201</v>
      </c>
      <c r="F62" s="4631"/>
      <c r="G62" s="4594">
        <v>303489.59999999998</v>
      </c>
      <c r="H62" s="4595"/>
      <c r="I62" s="4632">
        <f t="shared" si="5"/>
        <v>0</v>
      </c>
      <c r="J62" s="4632"/>
      <c r="K62" s="4624"/>
    </row>
    <row r="63" spans="1:13">
      <c r="A63" s="1553"/>
      <c r="B63" s="1554"/>
      <c r="C63" s="1446">
        <f>SUMIF(C33:C51, "5", H33:H51)</f>
        <v>0</v>
      </c>
      <c r="D63" s="1558">
        <f t="shared" si="4"/>
        <v>0</v>
      </c>
      <c r="E63" s="4639" t="s">
        <v>4202</v>
      </c>
      <c r="F63" s="4640"/>
      <c r="G63" s="4641">
        <v>303489.59999999998</v>
      </c>
      <c r="H63" s="4642"/>
      <c r="I63" s="4643">
        <f t="shared" si="5"/>
        <v>0</v>
      </c>
      <c r="J63" s="4643"/>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15"/>
      <c r="B65" s="4615"/>
      <c r="C65" s="4615"/>
      <c r="D65" s="4615"/>
      <c r="E65" s="4615"/>
      <c r="F65" s="4615"/>
      <c r="G65" s="4615"/>
      <c r="H65" s="4615"/>
      <c r="I65" s="4615"/>
      <c r="J65" s="4615"/>
    </row>
    <row r="66" spans="1:11">
      <c r="A66" s="4620" t="s">
        <v>4205</v>
      </c>
      <c r="B66" s="4621"/>
      <c r="C66" s="4621"/>
      <c r="D66" s="4621"/>
      <c r="E66" s="4621"/>
      <c r="F66" s="4621"/>
      <c r="G66" s="4621"/>
      <c r="H66" s="4621"/>
      <c r="I66" s="4621"/>
      <c r="J66" s="4621"/>
      <c r="K66" s="4622"/>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634" t="s">
        <v>4209</v>
      </c>
      <c r="D70" s="4634"/>
      <c r="E70" s="4634"/>
      <c r="F70" s="4634"/>
      <c r="G70" s="4634"/>
      <c r="H70" s="4634"/>
      <c r="I70" s="4634"/>
      <c r="J70" s="4634"/>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Hunters Haven</v>
      </c>
    </row>
    <row r="2" spans="1:11">
      <c r="A2" s="636" t="s">
        <v>3002</v>
      </c>
      <c r="H2" s="699" t="str">
        <f>'Sensitivity Analysis'!E8</f>
        <v>2021-041</v>
      </c>
    </row>
    <row r="3" spans="1:11" ht="3" customHeight="1"/>
    <row r="4" spans="1:11" ht="51.75" customHeight="1">
      <c r="A4" s="4662" t="s">
        <v>3098</v>
      </c>
      <c r="B4" s="4662"/>
      <c r="C4" s="4662"/>
      <c r="D4" s="4662"/>
      <c r="E4" s="4662"/>
      <c r="F4" s="4662"/>
      <c r="G4" s="4662"/>
      <c r="H4" s="4662"/>
      <c r="J4" s="1077">
        <f>SUM('Part VII-Pro Forma'!B15:B17)/12</f>
        <v>44897.23799999999</v>
      </c>
      <c r="K4" s="1076" t="s">
        <v>3816</v>
      </c>
    </row>
    <row r="5" spans="1:11" ht="1.5" customHeight="1">
      <c r="C5" s="741"/>
      <c r="D5" s="741"/>
      <c r="E5" s="741"/>
      <c r="F5" s="741"/>
      <c r="G5" s="741"/>
      <c r="H5" s="741"/>
    </row>
    <row r="6" spans="1:11" ht="12.75" customHeight="1">
      <c r="B6" s="742" t="s">
        <v>2324</v>
      </c>
      <c r="C6" s="4662" t="s">
        <v>3003</v>
      </c>
      <c r="D6" s="4662"/>
      <c r="E6" s="4662"/>
      <c r="F6" s="4662"/>
      <c r="G6" s="4662"/>
      <c r="H6" s="4662"/>
    </row>
    <row r="7" spans="1:11" ht="12.75" customHeight="1">
      <c r="B7" s="742" t="s">
        <v>2325</v>
      </c>
      <c r="C7" s="4662" t="s">
        <v>3004</v>
      </c>
      <c r="D7" s="4662"/>
      <c r="E7" s="4662"/>
      <c r="F7" s="4662"/>
      <c r="G7" s="4662"/>
      <c r="H7" s="4662"/>
    </row>
    <row r="8" spans="1:11" ht="3" customHeight="1"/>
    <row r="9" spans="1:11">
      <c r="A9" s="699" t="s">
        <v>3005</v>
      </c>
    </row>
    <row r="10" spans="1:11" ht="1.5" customHeight="1"/>
    <row r="11" spans="1:11" ht="26.25" customHeight="1">
      <c r="A11" s="743" t="s">
        <v>1893</v>
      </c>
      <c r="B11" s="4665" t="s">
        <v>3095</v>
      </c>
      <c r="C11" s="4665"/>
      <c r="D11" s="4665"/>
      <c r="E11" s="4665"/>
      <c r="F11" s="4665"/>
      <c r="G11" s="4666">
        <f>'Part III-Sources of Funds'!I51+'Part III-Sources of Funds'!I52</f>
        <v>13499150</v>
      </c>
      <c r="H11" s="4666"/>
    </row>
    <row r="12" spans="1:11" ht="1.5" customHeight="1">
      <c r="G12" s="712"/>
      <c r="H12" s="712"/>
    </row>
    <row r="13" spans="1:11" ht="26.25" customHeight="1">
      <c r="A13" s="743" t="s">
        <v>1895</v>
      </c>
      <c r="B13" s="4665" t="s">
        <v>3096</v>
      </c>
      <c r="C13" s="4665"/>
      <c r="D13" s="4665"/>
      <c r="E13" s="4665"/>
      <c r="F13" s="4665"/>
      <c r="G13" s="4667" t="s">
        <v>2933</v>
      </c>
      <c r="H13" s="4667"/>
    </row>
    <row r="14" spans="1:11" ht="12" hidden="1" customHeight="1">
      <c r="A14" s="743"/>
      <c r="B14" s="4494"/>
      <c r="C14" s="4494"/>
      <c r="D14" s="4494"/>
      <c r="E14" s="4494"/>
      <c r="F14" s="4494"/>
      <c r="G14" s="4494"/>
      <c r="H14" s="4494"/>
    </row>
    <row r="15" spans="1:11" ht="1.5" customHeight="1"/>
    <row r="16" spans="1:11" ht="12" customHeight="1">
      <c r="A16" s="743" t="s">
        <v>719</v>
      </c>
      <c r="B16" s="699" t="s">
        <v>3099</v>
      </c>
      <c r="F16" s="735"/>
      <c r="G16" s="4479" t="s">
        <v>2772</v>
      </c>
      <c r="H16" s="4479"/>
    </row>
    <row r="17" spans="1:8" ht="1.5" customHeight="1">
      <c r="G17" s="717"/>
    </row>
    <row r="18" spans="1:8" ht="12" customHeight="1">
      <c r="A18" s="743" t="s">
        <v>2021</v>
      </c>
      <c r="B18" s="712" t="s">
        <v>3097</v>
      </c>
      <c r="C18" s="743"/>
      <c r="D18" s="743"/>
      <c r="E18" s="743"/>
      <c r="G18" s="4494" t="s">
        <v>2625</v>
      </c>
      <c r="H18" s="4494"/>
    </row>
    <row r="19" spans="1:8" ht="12" hidden="1" customHeight="1">
      <c r="B19" s="4494"/>
      <c r="C19" s="4494"/>
      <c r="D19" s="4494"/>
      <c r="E19" s="4494"/>
      <c r="F19" s="4494"/>
      <c r="G19" s="4494"/>
      <c r="H19" s="4494"/>
    </row>
    <row r="20" spans="1:8" ht="13.5" customHeight="1"/>
    <row r="21" spans="1:8" ht="12" customHeight="1">
      <c r="A21" s="636" t="s">
        <v>3006</v>
      </c>
    </row>
    <row r="22" spans="1:8" ht="3" customHeight="1"/>
    <row r="23" spans="1:8" ht="24.75" customHeight="1">
      <c r="A23" s="4669" t="s">
        <v>4291</v>
      </c>
      <c r="B23" s="4669"/>
      <c r="C23" s="4669"/>
      <c r="D23" s="4669"/>
      <c r="E23" s="4669"/>
      <c r="F23" s="4669"/>
      <c r="G23" s="4669"/>
      <c r="H23" s="4669"/>
    </row>
    <row r="24" spans="1:8" ht="9" customHeight="1" thickBot="1">
      <c r="A24" s="702"/>
    </row>
    <row r="25" spans="1:8" ht="16.149999999999999" customHeight="1" thickBot="1">
      <c r="A25" s="4670">
        <v>20</v>
      </c>
      <c r="B25" s="4671"/>
      <c r="C25" s="1516" t="s">
        <v>1000</v>
      </c>
    </row>
    <row r="26" spans="1:8" ht="9" customHeight="1">
      <c r="A26" s="702"/>
    </row>
    <row r="27" spans="1:8" ht="28.15" customHeight="1">
      <c r="A27" s="4668" t="s">
        <v>4296</v>
      </c>
      <c r="B27" s="4668"/>
      <c r="C27" s="4668"/>
      <c r="D27" s="4668"/>
      <c r="E27" s="4668"/>
      <c r="F27" s="4668"/>
      <c r="G27" s="4668"/>
      <c r="H27" s="4668"/>
    </row>
    <row r="28" spans="1:8" ht="9" customHeight="1">
      <c r="A28" s="702"/>
    </row>
    <row r="29" spans="1:8">
      <c r="A29" s="717" t="s">
        <v>3100</v>
      </c>
      <c r="B29" s="744" t="str">
        <f>IF('Part VI-Revenues &amp; Expenses'!$K$62=0,"",'Part VI-Revenues &amp; Expenses'!$K$62)</f>
        <v/>
      </c>
      <c r="C29" s="717" t="s">
        <v>4289</v>
      </c>
      <c r="D29" s="745" t="s">
        <v>4290</v>
      </c>
    </row>
    <row r="30" spans="1:8" ht="1.9" customHeight="1"/>
    <row r="31" spans="1:8" ht="12.75" customHeight="1">
      <c r="C31" s="712" t="s">
        <v>3007</v>
      </c>
      <c r="D31" s="746" t="s">
        <v>1896</v>
      </c>
      <c r="E31" s="747"/>
      <c r="F31" s="4662" t="s">
        <v>3008</v>
      </c>
      <c r="G31" s="4662"/>
      <c r="H31" s="4662"/>
    </row>
    <row r="32" spans="1:8" ht="12.75" customHeight="1">
      <c r="C32" s="748" t="s">
        <v>1304</v>
      </c>
      <c r="D32" s="746" t="s">
        <v>1898</v>
      </c>
      <c r="E32" s="4662" t="s">
        <v>3105</v>
      </c>
      <c r="F32" s="4662"/>
      <c r="G32" s="4662"/>
      <c r="H32" s="4662"/>
    </row>
    <row r="33" spans="1:11" ht="12.75" customHeight="1">
      <c r="C33" s="1514" t="s">
        <v>4294</v>
      </c>
      <c r="E33" s="4662" t="s">
        <v>3242</v>
      </c>
      <c r="F33" s="4662"/>
      <c r="G33" s="4662"/>
      <c r="H33" s="4662"/>
    </row>
    <row r="34" spans="1:11" ht="12.75" customHeight="1">
      <c r="C34" s="1515"/>
      <c r="D34" s="1513" t="s">
        <v>3104</v>
      </c>
      <c r="E34" s="4664" t="s">
        <v>3243</v>
      </c>
      <c r="F34" s="4664"/>
      <c r="G34" s="4664"/>
      <c r="H34" s="4664"/>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2" t="s">
        <v>3105</v>
      </c>
      <c r="F37" s="4662"/>
      <c r="G37" s="4662"/>
      <c r="H37" s="4662"/>
    </row>
    <row r="38" spans="1:11" ht="12.75" customHeight="1">
      <c r="C38" s="1514" t="s">
        <v>4294</v>
      </c>
      <c r="E38" s="4662" t="s">
        <v>3242</v>
      </c>
      <c r="F38" s="4662"/>
      <c r="G38" s="4662"/>
      <c r="H38" s="4662"/>
    </row>
    <row r="39" spans="1:11" ht="12.75" customHeight="1">
      <c r="C39" s="1515"/>
      <c r="D39" s="1513" t="s">
        <v>3104</v>
      </c>
      <c r="E39" s="4664" t="s">
        <v>3243</v>
      </c>
      <c r="F39" s="4664"/>
      <c r="G39" s="4664"/>
      <c r="H39" s="4664"/>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2" t="s">
        <v>3105</v>
      </c>
      <c r="F42" s="4662"/>
      <c r="G42" s="4662"/>
      <c r="H42" s="4662"/>
    </row>
    <row r="43" spans="1:11" ht="12.75" customHeight="1">
      <c r="C43" s="1514" t="s">
        <v>4294</v>
      </c>
      <c r="E43" s="4662" t="s">
        <v>3242</v>
      </c>
      <c r="F43" s="4662"/>
      <c r="G43" s="4662"/>
      <c r="H43" s="4662"/>
    </row>
    <row r="44" spans="1:11" ht="12.75" customHeight="1">
      <c r="C44" s="1515"/>
      <c r="D44" s="1513" t="s">
        <v>3104</v>
      </c>
      <c r="E44" s="4664" t="s">
        <v>3243</v>
      </c>
      <c r="F44" s="4664"/>
      <c r="G44" s="4664"/>
      <c r="H44" s="4664"/>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2" t="s">
        <v>3105</v>
      </c>
      <c r="F49" s="4662"/>
      <c r="G49" s="4662"/>
      <c r="H49" s="4662"/>
      <c r="K49" s="1530"/>
    </row>
    <row r="50" spans="1:11" ht="12.75" customHeight="1">
      <c r="C50" s="1514" t="s">
        <v>4294</v>
      </c>
      <c r="E50" s="4662" t="s">
        <v>3242</v>
      </c>
      <c r="F50" s="4662"/>
      <c r="G50" s="4662"/>
      <c r="H50" s="4662"/>
    </row>
    <row r="51" spans="1:11" ht="12.75" customHeight="1">
      <c r="C51" s="1515"/>
      <c r="D51" s="1512" t="s">
        <v>3104</v>
      </c>
      <c r="E51" s="4663" t="s">
        <v>3243</v>
      </c>
      <c r="F51" s="4663"/>
      <c r="G51" s="4663"/>
      <c r="H51" s="4663"/>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2" t="s">
        <v>3105</v>
      </c>
      <c r="F54" s="4662"/>
      <c r="G54" s="4662"/>
      <c r="H54" s="4662"/>
    </row>
    <row r="55" spans="1:11" ht="12.75" customHeight="1">
      <c r="C55" s="1514" t="s">
        <v>4294</v>
      </c>
      <c r="E55" s="4662" t="s">
        <v>3242</v>
      </c>
      <c r="F55" s="4662"/>
      <c r="G55" s="4662"/>
      <c r="H55" s="4662"/>
    </row>
    <row r="56" spans="1:11" ht="12.75" customHeight="1">
      <c r="C56" s="1515"/>
      <c r="D56" s="1513" t="s">
        <v>3104</v>
      </c>
      <c r="E56" s="4664" t="s">
        <v>3243</v>
      </c>
      <c r="F56" s="4664"/>
      <c r="G56" s="4664"/>
      <c r="H56" s="4664"/>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2" t="s">
        <v>3105</v>
      </c>
      <c r="F59" s="4662"/>
      <c r="G59" s="4662"/>
      <c r="H59" s="4662"/>
    </row>
    <row r="60" spans="1:11" ht="12.75" customHeight="1">
      <c r="C60" s="1514" t="s">
        <v>4294</v>
      </c>
      <c r="E60" s="4662" t="s">
        <v>3242</v>
      </c>
      <c r="F60" s="4662"/>
      <c r="G60" s="4662"/>
      <c r="H60" s="4662"/>
    </row>
    <row r="61" spans="1:11" ht="12.75" customHeight="1">
      <c r="C61" s="1515"/>
      <c r="D61" s="1513" t="s">
        <v>3104</v>
      </c>
      <c r="E61" s="4664" t="s">
        <v>3243</v>
      </c>
      <c r="F61" s="4664"/>
      <c r="G61" s="4664"/>
      <c r="H61" s="4664"/>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2" t="s">
        <v>3105</v>
      </c>
      <c r="F66" s="4662"/>
      <c r="G66" s="4662"/>
      <c r="H66" s="4662"/>
    </row>
    <row r="67" spans="1:8" ht="12.75" customHeight="1">
      <c r="C67" s="1514" t="s">
        <v>4294</v>
      </c>
      <c r="E67" s="4662" t="s">
        <v>3242</v>
      </c>
      <c r="F67" s="4662"/>
      <c r="G67" s="4662"/>
      <c r="H67" s="4662"/>
    </row>
    <row r="68" spans="1:8" ht="12.75" customHeight="1">
      <c r="C68" s="1515"/>
      <c r="D68" s="1512" t="s">
        <v>3104</v>
      </c>
      <c r="E68" s="4663" t="s">
        <v>3243</v>
      </c>
      <c r="F68" s="4663"/>
      <c r="G68" s="4663"/>
      <c r="H68" s="4663"/>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2" t="s">
        <v>3105</v>
      </c>
      <c r="F71" s="4662"/>
      <c r="G71" s="4662"/>
      <c r="H71" s="4662"/>
    </row>
    <row r="72" spans="1:8" ht="12.75" customHeight="1">
      <c r="C72" s="1514" t="s">
        <v>4294</v>
      </c>
      <c r="E72" s="4662" t="s">
        <v>3242</v>
      </c>
      <c r="F72" s="4662"/>
      <c r="G72" s="4662"/>
      <c r="H72" s="4662"/>
    </row>
    <row r="73" spans="1:8" ht="12.75" customHeight="1">
      <c r="C73" s="1515"/>
      <c r="D73" s="1513" t="s">
        <v>3104</v>
      </c>
      <c r="E73" s="4664" t="s">
        <v>3243</v>
      </c>
      <c r="F73" s="4664"/>
      <c r="G73" s="4664"/>
      <c r="H73" s="4664"/>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2" t="s">
        <v>3105</v>
      </c>
      <c r="F76" s="4662"/>
      <c r="G76" s="4662"/>
      <c r="H76" s="4662"/>
    </row>
    <row r="77" spans="1:8" ht="12.75" customHeight="1">
      <c r="C77" s="1514" t="s">
        <v>4294</v>
      </c>
      <c r="E77" s="4662" t="s">
        <v>3242</v>
      </c>
      <c r="F77" s="4662"/>
      <c r="G77" s="4662"/>
      <c r="H77" s="4662"/>
    </row>
    <row r="78" spans="1:8" ht="12.75" customHeight="1">
      <c r="C78" s="1515"/>
      <c r="D78" s="1513" t="s">
        <v>3104</v>
      </c>
      <c r="E78" s="4664" t="s">
        <v>3243</v>
      </c>
      <c r="F78" s="4664"/>
      <c r="G78" s="4664"/>
      <c r="H78" s="4664"/>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2" t="s">
        <v>3105</v>
      </c>
      <c r="F83" s="4662"/>
      <c r="G83" s="4662"/>
      <c r="H83" s="4662"/>
    </row>
    <row r="84" spans="3:8" ht="12.75" customHeight="1">
      <c r="C84" s="1514" t="s">
        <v>4294</v>
      </c>
      <c r="E84" s="4662" t="s">
        <v>3242</v>
      </c>
      <c r="F84" s="4662"/>
      <c r="G84" s="4662"/>
      <c r="H84" s="4662"/>
    </row>
    <row r="85" spans="3:8" ht="12.75" customHeight="1">
      <c r="C85" s="1515"/>
      <c r="D85" s="1512" t="s">
        <v>3104</v>
      </c>
      <c r="E85" s="4663" t="s">
        <v>3243</v>
      </c>
      <c r="F85" s="4663"/>
      <c r="G85" s="4663"/>
      <c r="H85" s="4663"/>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2" t="s">
        <v>3105</v>
      </c>
      <c r="F88" s="4662"/>
      <c r="G88" s="4662"/>
      <c r="H88" s="4662"/>
    </row>
    <row r="89" spans="3:8" ht="12.75" customHeight="1">
      <c r="C89" s="1514" t="s">
        <v>4294</v>
      </c>
      <c r="E89" s="4662" t="s">
        <v>3242</v>
      </c>
      <c r="F89" s="4662"/>
      <c r="G89" s="4662"/>
      <c r="H89" s="4662"/>
    </row>
    <row r="90" spans="3:8" ht="12.75" customHeight="1">
      <c r="C90" s="1515"/>
      <c r="D90" s="1513" t="s">
        <v>3104</v>
      </c>
      <c r="E90" s="4664" t="s">
        <v>3243</v>
      </c>
      <c r="F90" s="4664"/>
      <c r="G90" s="4664"/>
      <c r="H90" s="4664"/>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2" t="s">
        <v>3105</v>
      </c>
      <c r="F93" s="4662"/>
      <c r="G93" s="4662"/>
      <c r="H93" s="4662"/>
    </row>
    <row r="94" spans="3:8" ht="12.75" customHeight="1">
      <c r="C94" s="1514" t="s">
        <v>4294</v>
      </c>
      <c r="E94" s="4662" t="s">
        <v>3242</v>
      </c>
      <c r="F94" s="4662"/>
      <c r="G94" s="4662"/>
      <c r="H94" s="4662"/>
    </row>
    <row r="95" spans="3:8" ht="12.75" customHeight="1">
      <c r="C95" s="1515"/>
      <c r="D95" s="1513" t="s">
        <v>3104</v>
      </c>
      <c r="E95" s="4664" t="s">
        <v>3243</v>
      </c>
      <c r="F95" s="4664"/>
      <c r="G95" s="4664"/>
      <c r="H95" s="4664"/>
    </row>
    <row r="96" spans="3:8" ht="6" customHeight="1">
      <c r="D96" s="746"/>
      <c r="E96" s="1511"/>
      <c r="F96" s="1511"/>
      <c r="G96" s="1511"/>
      <c r="H96" s="1511"/>
    </row>
    <row r="97" spans="1:11">
      <c r="A97" s="717" t="s">
        <v>3100</v>
      </c>
      <c r="B97" s="744" t="str">
        <f>IF('Part VI-Revenues &amp; Expenses'!$O$62=0,"",'Part VI-Revenues &amp; Expenses'!$O$62)</f>
        <v/>
      </c>
      <c r="C97" s="717" t="s">
        <v>4292</v>
      </c>
      <c r="D97" s="745" t="s">
        <v>4293</v>
      </c>
    </row>
    <row r="98" spans="1:11" ht="1.9" customHeight="1"/>
    <row r="99" spans="1:11" ht="12.75" customHeight="1">
      <c r="C99" s="712" t="s">
        <v>3007</v>
      </c>
      <c r="D99" s="746" t="s">
        <v>1896</v>
      </c>
      <c r="E99" s="747"/>
      <c r="F99" s="4662" t="s">
        <v>3008</v>
      </c>
      <c r="G99" s="4662"/>
      <c r="H99" s="4662"/>
      <c r="K99" s="699" t="s">
        <v>232</v>
      </c>
    </row>
    <row r="100" spans="1:11" ht="12.75" customHeight="1">
      <c r="C100" s="748" t="s">
        <v>1304</v>
      </c>
      <c r="D100" s="746" t="s">
        <v>1898</v>
      </c>
      <c r="E100" s="4662" t="s">
        <v>3106</v>
      </c>
      <c r="F100" s="4662"/>
      <c r="G100" s="4662"/>
      <c r="H100" s="4662"/>
    </row>
    <row r="101" spans="1:11" ht="12.75" customHeight="1">
      <c r="E101" s="4662" t="s">
        <v>3242</v>
      </c>
      <c r="F101" s="4662"/>
      <c r="G101" s="4662"/>
      <c r="H101" s="4662"/>
    </row>
    <row r="102" spans="1:11" ht="12.75" customHeight="1">
      <c r="D102" s="749" t="s">
        <v>3104</v>
      </c>
      <c r="E102" s="4662" t="s">
        <v>3243</v>
      </c>
      <c r="F102" s="4662"/>
      <c r="G102" s="4662"/>
      <c r="H102" s="4662"/>
    </row>
    <row r="103" spans="1:11" ht="9" customHeight="1" thickBot="1"/>
    <row r="104" spans="1:11" ht="16.149999999999999" customHeight="1" thickBot="1">
      <c r="A104" s="4670">
        <v>30</v>
      </c>
      <c r="B104" s="4671"/>
      <c r="C104" s="1516" t="s">
        <v>1000</v>
      </c>
    </row>
    <row r="105" spans="1:11" ht="9" customHeight="1">
      <c r="A105" s="702"/>
    </row>
    <row r="106" spans="1:11" ht="28.15" customHeight="1">
      <c r="A106" s="4668" t="s">
        <v>4297</v>
      </c>
      <c r="B106" s="4668"/>
      <c r="C106" s="4668"/>
      <c r="D106" s="4668"/>
      <c r="E106" s="4668"/>
      <c r="F106" s="4668"/>
      <c r="G106" s="4668"/>
      <c r="H106" s="4668"/>
    </row>
    <row r="107" spans="1:11" ht="9" customHeight="1">
      <c r="A107" s="702"/>
    </row>
    <row r="108" spans="1:11">
      <c r="A108" s="717" t="s">
        <v>3100</v>
      </c>
      <c r="B108" s="744" t="str">
        <f>IF('Part VI-Revenues &amp; Expenses'!$K$61=0,"",'Part VI-Revenues &amp; Expenses'!$K$61)</f>
        <v/>
      </c>
      <c r="C108" s="717" t="s">
        <v>4289</v>
      </c>
      <c r="D108" s="745" t="s">
        <v>4290</v>
      </c>
    </row>
    <row r="109" spans="1:11" ht="1.9" customHeight="1"/>
    <row r="110" spans="1:11" ht="12.75" customHeight="1">
      <c r="C110" s="712" t="s">
        <v>3007</v>
      </c>
      <c r="D110" s="746" t="s">
        <v>1896</v>
      </c>
      <c r="E110" s="747"/>
      <c r="F110" s="4662" t="s">
        <v>3008</v>
      </c>
      <c r="G110" s="4662"/>
      <c r="H110" s="4662"/>
    </row>
    <row r="111" spans="1:11" ht="12.75" customHeight="1">
      <c r="C111" s="748" t="s">
        <v>1304</v>
      </c>
      <c r="D111" s="746" t="s">
        <v>1898</v>
      </c>
      <c r="E111" s="4662" t="s">
        <v>3105</v>
      </c>
      <c r="F111" s="4662"/>
      <c r="G111" s="4662"/>
      <c r="H111" s="4662"/>
    </row>
    <row r="112" spans="1:11" ht="12.75" customHeight="1">
      <c r="C112" s="1514" t="s">
        <v>4294</v>
      </c>
      <c r="E112" s="4662" t="s">
        <v>3242</v>
      </c>
      <c r="F112" s="4662"/>
      <c r="G112" s="4662"/>
      <c r="H112" s="4662"/>
    </row>
    <row r="113" spans="1:8" ht="12.75" customHeight="1">
      <c r="C113" s="1515"/>
      <c r="D113" s="1513" t="s">
        <v>3104</v>
      </c>
      <c r="E113" s="4664" t="s">
        <v>3243</v>
      </c>
      <c r="F113" s="4664"/>
      <c r="G113" s="4664"/>
      <c r="H113" s="4664"/>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2" t="s">
        <v>3105</v>
      </c>
      <c r="F116" s="4662"/>
      <c r="G116" s="4662"/>
      <c r="H116" s="4662"/>
    </row>
    <row r="117" spans="1:8" ht="12.75" customHeight="1">
      <c r="C117" s="1514" t="s">
        <v>4294</v>
      </c>
      <c r="E117" s="4662" t="s">
        <v>3242</v>
      </c>
      <c r="F117" s="4662"/>
      <c r="G117" s="4662"/>
      <c r="H117" s="4662"/>
    </row>
    <row r="118" spans="1:8" ht="12.75" customHeight="1">
      <c r="C118" s="1515"/>
      <c r="D118" s="1513" t="s">
        <v>3104</v>
      </c>
      <c r="E118" s="4664" t="s">
        <v>3243</v>
      </c>
      <c r="F118" s="4664"/>
      <c r="G118" s="4664"/>
      <c r="H118" s="4664"/>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2" t="s">
        <v>3105</v>
      </c>
      <c r="F121" s="4662"/>
      <c r="G121" s="4662"/>
      <c r="H121" s="4662"/>
    </row>
    <row r="122" spans="1:8" ht="12.75" customHeight="1">
      <c r="C122" s="1514" t="s">
        <v>4294</v>
      </c>
      <c r="E122" s="4662" t="s">
        <v>3242</v>
      </c>
      <c r="F122" s="4662"/>
      <c r="G122" s="4662"/>
      <c r="H122" s="4662"/>
    </row>
    <row r="123" spans="1:8" ht="12.75" customHeight="1">
      <c r="C123" s="1515"/>
      <c r="D123" s="1513" t="s">
        <v>3104</v>
      </c>
      <c r="E123" s="4664" t="s">
        <v>3243</v>
      </c>
      <c r="F123" s="4664"/>
      <c r="G123" s="4664"/>
      <c r="H123" s="4664"/>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2" t="s">
        <v>3105</v>
      </c>
      <c r="F128" s="4662"/>
      <c r="G128" s="4662"/>
      <c r="H128" s="4662"/>
    </row>
    <row r="129" spans="1:8" ht="12.75" customHeight="1">
      <c r="C129" s="1514" t="s">
        <v>4294</v>
      </c>
      <c r="E129" s="4662" t="s">
        <v>3242</v>
      </c>
      <c r="F129" s="4662"/>
      <c r="G129" s="4662"/>
      <c r="H129" s="4662"/>
    </row>
    <row r="130" spans="1:8" ht="12.75" customHeight="1">
      <c r="C130" s="1515"/>
      <c r="D130" s="1512" t="s">
        <v>3104</v>
      </c>
      <c r="E130" s="4663" t="s">
        <v>3243</v>
      </c>
      <c r="F130" s="4663"/>
      <c r="G130" s="4663"/>
      <c r="H130" s="4663"/>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2" t="s">
        <v>3105</v>
      </c>
      <c r="F133" s="4662"/>
      <c r="G133" s="4662"/>
      <c r="H133" s="4662"/>
    </row>
    <row r="134" spans="1:8" ht="12.75" customHeight="1">
      <c r="C134" s="1514" t="s">
        <v>4294</v>
      </c>
      <c r="E134" s="4662" t="s">
        <v>3242</v>
      </c>
      <c r="F134" s="4662"/>
      <c r="G134" s="4662"/>
      <c r="H134" s="4662"/>
    </row>
    <row r="135" spans="1:8" ht="12.75" customHeight="1">
      <c r="C135" s="1515"/>
      <c r="D135" s="1513" t="s">
        <v>3104</v>
      </c>
      <c r="E135" s="4664" t="s">
        <v>3243</v>
      </c>
      <c r="F135" s="4664"/>
      <c r="G135" s="4664"/>
      <c r="H135" s="4664"/>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2" t="s">
        <v>3105</v>
      </c>
      <c r="F138" s="4662"/>
      <c r="G138" s="4662"/>
      <c r="H138" s="4662"/>
    </row>
    <row r="139" spans="1:8" ht="12.75" customHeight="1">
      <c r="C139" s="1514" t="s">
        <v>4294</v>
      </c>
      <c r="E139" s="4662" t="s">
        <v>3242</v>
      </c>
      <c r="F139" s="4662"/>
      <c r="G139" s="4662"/>
      <c r="H139" s="4662"/>
    </row>
    <row r="140" spans="1:8" ht="12.75" customHeight="1">
      <c r="C140" s="1515"/>
      <c r="D140" s="1513" t="s">
        <v>3104</v>
      </c>
      <c r="E140" s="4664" t="s">
        <v>3243</v>
      </c>
      <c r="F140" s="4664"/>
      <c r="G140" s="4664"/>
      <c r="H140" s="4664"/>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2" t="s">
        <v>3105</v>
      </c>
      <c r="F145" s="4662"/>
      <c r="G145" s="4662"/>
      <c r="H145" s="4662"/>
    </row>
    <row r="146" spans="1:8" ht="12.75" customHeight="1">
      <c r="C146" s="1514" t="s">
        <v>4294</v>
      </c>
      <c r="E146" s="4662" t="s">
        <v>3242</v>
      </c>
      <c r="F146" s="4662"/>
      <c r="G146" s="4662"/>
      <c r="H146" s="4662"/>
    </row>
    <row r="147" spans="1:8" ht="12.75" customHeight="1">
      <c r="C147" s="1515"/>
      <c r="D147" s="1512" t="s">
        <v>3104</v>
      </c>
      <c r="E147" s="4663" t="s">
        <v>3243</v>
      </c>
      <c r="F147" s="4663"/>
      <c r="G147" s="4663"/>
      <c r="H147" s="4663"/>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2" t="s">
        <v>3105</v>
      </c>
      <c r="F150" s="4662"/>
      <c r="G150" s="4662"/>
      <c r="H150" s="4662"/>
    </row>
    <row r="151" spans="1:8" ht="12.75" customHeight="1">
      <c r="C151" s="1514" t="s">
        <v>4294</v>
      </c>
      <c r="E151" s="4662" t="s">
        <v>3242</v>
      </c>
      <c r="F151" s="4662"/>
      <c r="G151" s="4662"/>
      <c r="H151" s="4662"/>
    </row>
    <row r="152" spans="1:8" ht="12.75" customHeight="1">
      <c r="C152" s="1515"/>
      <c r="D152" s="1513" t="s">
        <v>3104</v>
      </c>
      <c r="E152" s="4664" t="s">
        <v>3243</v>
      </c>
      <c r="F152" s="4664"/>
      <c r="G152" s="4664"/>
      <c r="H152" s="4664"/>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2" t="s">
        <v>3105</v>
      </c>
      <c r="F155" s="4662"/>
      <c r="G155" s="4662"/>
      <c r="H155" s="4662"/>
    </row>
    <row r="156" spans="1:8" ht="12.75" customHeight="1">
      <c r="C156" s="1514" t="s">
        <v>4294</v>
      </c>
      <c r="E156" s="4662" t="s">
        <v>3242</v>
      </c>
      <c r="F156" s="4662"/>
      <c r="G156" s="4662"/>
      <c r="H156" s="4662"/>
    </row>
    <row r="157" spans="1:8" ht="12.75" customHeight="1">
      <c r="C157" s="1515"/>
      <c r="D157" s="1513" t="s">
        <v>3104</v>
      </c>
      <c r="E157" s="4664" t="s">
        <v>3243</v>
      </c>
      <c r="F157" s="4664"/>
      <c r="G157" s="4664"/>
      <c r="H157" s="4664"/>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2" t="s">
        <v>3105</v>
      </c>
      <c r="F162" s="4662"/>
      <c r="G162" s="4662"/>
      <c r="H162" s="4662"/>
    </row>
    <row r="163" spans="1:8" ht="12.75" customHeight="1">
      <c r="C163" s="1514" t="s">
        <v>4294</v>
      </c>
      <c r="E163" s="4662" t="s">
        <v>3242</v>
      </c>
      <c r="F163" s="4662"/>
      <c r="G163" s="4662"/>
      <c r="H163" s="4662"/>
    </row>
    <row r="164" spans="1:8" ht="12.75" customHeight="1">
      <c r="C164" s="1515"/>
      <c r="D164" s="1512" t="s">
        <v>3104</v>
      </c>
      <c r="E164" s="4663" t="s">
        <v>3243</v>
      </c>
      <c r="F164" s="4663"/>
      <c r="G164" s="4663"/>
      <c r="H164" s="4663"/>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2" t="s">
        <v>3105</v>
      </c>
      <c r="F167" s="4662"/>
      <c r="G167" s="4662"/>
      <c r="H167" s="4662"/>
    </row>
    <row r="168" spans="1:8" ht="12.75" customHeight="1">
      <c r="C168" s="1514" t="s">
        <v>4294</v>
      </c>
      <c r="E168" s="4662" t="s">
        <v>3242</v>
      </c>
      <c r="F168" s="4662"/>
      <c r="G168" s="4662"/>
      <c r="H168" s="4662"/>
    </row>
    <row r="169" spans="1:8" ht="12.75" customHeight="1">
      <c r="C169" s="1515"/>
      <c r="D169" s="1513" t="s">
        <v>3104</v>
      </c>
      <c r="E169" s="4664" t="s">
        <v>3243</v>
      </c>
      <c r="F169" s="4664"/>
      <c r="G169" s="4664"/>
      <c r="H169" s="4664"/>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2" t="s">
        <v>3105</v>
      </c>
      <c r="F172" s="4662"/>
      <c r="G172" s="4662"/>
      <c r="H172" s="4662"/>
    </row>
    <row r="173" spans="1:8" ht="12.75" customHeight="1">
      <c r="C173" s="1514" t="s">
        <v>4294</v>
      </c>
      <c r="E173" s="4662" t="s">
        <v>3242</v>
      </c>
      <c r="F173" s="4662"/>
      <c r="G173" s="4662"/>
      <c r="H173" s="4662"/>
    </row>
    <row r="174" spans="1:8" ht="12.75" customHeight="1">
      <c r="C174" s="1515"/>
      <c r="D174" s="1513" t="s">
        <v>3104</v>
      </c>
      <c r="E174" s="4664" t="s">
        <v>3243</v>
      </c>
      <c r="F174" s="4664"/>
      <c r="G174" s="4664"/>
      <c r="H174" s="4664"/>
    </row>
    <row r="175" spans="1:8" ht="6" customHeight="1">
      <c r="D175" s="746"/>
      <c r="E175" s="1511"/>
      <c r="F175" s="1511"/>
      <c r="G175" s="1511"/>
      <c r="H175" s="1511"/>
    </row>
    <row r="176" spans="1:8">
      <c r="A176" s="717" t="s">
        <v>3100</v>
      </c>
      <c r="B176" s="744" t="str">
        <f>IF('Part VI-Revenues &amp; Expenses'!$O61=0,"",'Part VI-Revenues &amp; Expenses'!$O$61)</f>
        <v/>
      </c>
      <c r="C176" s="717" t="s">
        <v>4292</v>
      </c>
      <c r="D176" s="745" t="s">
        <v>4293</v>
      </c>
    </row>
    <row r="177" spans="1:11" ht="1.9" customHeight="1"/>
    <row r="178" spans="1:11" ht="12.75" customHeight="1">
      <c r="C178" s="712" t="s">
        <v>3007</v>
      </c>
      <c r="D178" s="746" t="s">
        <v>1896</v>
      </c>
      <c r="E178" s="747"/>
      <c r="F178" s="4662" t="s">
        <v>3008</v>
      </c>
      <c r="G178" s="4662"/>
      <c r="H178" s="4662"/>
      <c r="K178" s="699" t="s">
        <v>232</v>
      </c>
    </row>
    <row r="179" spans="1:11" ht="12.75" customHeight="1">
      <c r="C179" s="748" t="s">
        <v>1304</v>
      </c>
      <c r="D179" s="746" t="s">
        <v>1898</v>
      </c>
      <c r="E179" s="4662" t="s">
        <v>3106</v>
      </c>
      <c r="F179" s="4662"/>
      <c r="G179" s="4662"/>
      <c r="H179" s="4662"/>
    </row>
    <row r="180" spans="1:11" ht="12.75" customHeight="1">
      <c r="E180" s="4662" t="s">
        <v>3242</v>
      </c>
      <c r="F180" s="4662"/>
      <c r="G180" s="4662"/>
      <c r="H180" s="4662"/>
    </row>
    <row r="181" spans="1:11" ht="12.75" customHeight="1">
      <c r="D181" s="749" t="s">
        <v>3104</v>
      </c>
      <c r="E181" s="4662" t="s">
        <v>3243</v>
      </c>
      <c r="F181" s="4662"/>
      <c r="G181" s="4662"/>
      <c r="H181" s="4662"/>
    </row>
    <row r="182" spans="1:11" ht="9" customHeight="1" thickBot="1"/>
    <row r="183" spans="1:11" ht="16.149999999999999" customHeight="1" thickBot="1">
      <c r="A183" s="4670">
        <v>40</v>
      </c>
      <c r="B183" s="4671"/>
      <c r="C183" s="1516" t="s">
        <v>1000</v>
      </c>
    </row>
    <row r="184" spans="1:11" ht="9" customHeight="1">
      <c r="A184" s="702"/>
    </row>
    <row r="185" spans="1:11" ht="28.15" customHeight="1">
      <c r="A185" s="4668" t="s">
        <v>4298</v>
      </c>
      <c r="B185" s="4668"/>
      <c r="C185" s="4668"/>
      <c r="D185" s="4668"/>
      <c r="E185" s="4668"/>
      <c r="F185" s="4668"/>
      <c r="G185" s="4668"/>
      <c r="H185" s="4668"/>
    </row>
    <row r="186" spans="1:11" ht="9" customHeight="1">
      <c r="A186" s="702"/>
    </row>
    <row r="187" spans="1:11">
      <c r="A187" s="717" t="s">
        <v>3100</v>
      </c>
      <c r="B187" s="744" t="str">
        <f>IF('Part VI-Revenues &amp; Expenses'!$K$60=0,"",'Part VI-Revenues &amp; Expenses'!$K$60)</f>
        <v/>
      </c>
      <c r="C187" s="717" t="s">
        <v>4289</v>
      </c>
      <c r="D187" s="745" t="s">
        <v>4290</v>
      </c>
    </row>
    <row r="188" spans="1:11" ht="1.9" customHeight="1"/>
    <row r="189" spans="1:11" ht="12.75" customHeight="1">
      <c r="C189" s="712" t="s">
        <v>3007</v>
      </c>
      <c r="D189" s="746" t="s">
        <v>1896</v>
      </c>
      <c r="E189" s="747"/>
      <c r="F189" s="4662" t="s">
        <v>3008</v>
      </c>
      <c r="G189" s="4662"/>
      <c r="H189" s="4662"/>
    </row>
    <row r="190" spans="1:11" ht="12.75" customHeight="1">
      <c r="C190" s="748" t="s">
        <v>1304</v>
      </c>
      <c r="D190" s="746" t="s">
        <v>1898</v>
      </c>
      <c r="E190" s="4662" t="s">
        <v>3105</v>
      </c>
      <c r="F190" s="4662"/>
      <c r="G190" s="4662"/>
      <c r="H190" s="4662"/>
    </row>
    <row r="191" spans="1:11" ht="12.75" customHeight="1">
      <c r="C191" s="1514" t="s">
        <v>4294</v>
      </c>
      <c r="E191" s="4662" t="s">
        <v>3242</v>
      </c>
      <c r="F191" s="4662"/>
      <c r="G191" s="4662"/>
      <c r="H191" s="4662"/>
    </row>
    <row r="192" spans="1:11" ht="12.75" customHeight="1">
      <c r="C192" s="1515"/>
      <c r="D192" s="1513" t="s">
        <v>3104</v>
      </c>
      <c r="E192" s="4664" t="s">
        <v>3243</v>
      </c>
      <c r="F192" s="4664"/>
      <c r="G192" s="4664"/>
      <c r="H192" s="4664"/>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2" t="s">
        <v>3105</v>
      </c>
      <c r="F195" s="4662"/>
      <c r="G195" s="4662"/>
      <c r="H195" s="4662"/>
    </row>
    <row r="196" spans="1:8" ht="12.75" customHeight="1">
      <c r="C196" s="1514" t="s">
        <v>4294</v>
      </c>
      <c r="E196" s="4662" t="s">
        <v>3242</v>
      </c>
      <c r="F196" s="4662"/>
      <c r="G196" s="4662"/>
      <c r="H196" s="4662"/>
    </row>
    <row r="197" spans="1:8" ht="12.75" customHeight="1">
      <c r="C197" s="1515"/>
      <c r="D197" s="1513" t="s">
        <v>3104</v>
      </c>
      <c r="E197" s="4664" t="s">
        <v>3243</v>
      </c>
      <c r="F197" s="4664"/>
      <c r="G197" s="4664"/>
      <c r="H197" s="4664"/>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2" t="s">
        <v>3105</v>
      </c>
      <c r="F200" s="4662"/>
      <c r="G200" s="4662"/>
      <c r="H200" s="4662"/>
    </row>
    <row r="201" spans="1:8" ht="12.75" customHeight="1">
      <c r="C201" s="1514" t="s">
        <v>4294</v>
      </c>
      <c r="E201" s="4662" t="s">
        <v>3242</v>
      </c>
      <c r="F201" s="4662"/>
      <c r="G201" s="4662"/>
      <c r="H201" s="4662"/>
    </row>
    <row r="202" spans="1:8" ht="12.75" customHeight="1">
      <c r="C202" s="1515"/>
      <c r="D202" s="1513" t="s">
        <v>3104</v>
      </c>
      <c r="E202" s="4664" t="s">
        <v>3243</v>
      </c>
      <c r="F202" s="4664"/>
      <c r="G202" s="4664"/>
      <c r="H202" s="4664"/>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2" t="s">
        <v>3105</v>
      </c>
      <c r="F207" s="4662"/>
      <c r="G207" s="4662"/>
      <c r="H207" s="4662"/>
    </row>
    <row r="208" spans="1:8" ht="12.75" customHeight="1">
      <c r="C208" s="1514" t="s">
        <v>4294</v>
      </c>
      <c r="E208" s="4662" t="s">
        <v>3242</v>
      </c>
      <c r="F208" s="4662"/>
      <c r="G208" s="4662"/>
      <c r="H208" s="4662"/>
    </row>
    <row r="209" spans="1:8" ht="12.75" customHeight="1">
      <c r="C209" s="1515"/>
      <c r="D209" s="1512" t="s">
        <v>3104</v>
      </c>
      <c r="E209" s="4663" t="s">
        <v>3243</v>
      </c>
      <c r="F209" s="4663"/>
      <c r="G209" s="4663"/>
      <c r="H209" s="4663"/>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2" t="s">
        <v>3105</v>
      </c>
      <c r="F212" s="4662"/>
      <c r="G212" s="4662"/>
      <c r="H212" s="4662"/>
    </row>
    <row r="213" spans="1:8" ht="12.75" customHeight="1">
      <c r="C213" s="1514" t="s">
        <v>4294</v>
      </c>
      <c r="E213" s="4662" t="s">
        <v>3242</v>
      </c>
      <c r="F213" s="4662"/>
      <c r="G213" s="4662"/>
      <c r="H213" s="4662"/>
    </row>
    <row r="214" spans="1:8" ht="12.75" customHeight="1">
      <c r="C214" s="1515"/>
      <c r="D214" s="1513" t="s">
        <v>3104</v>
      </c>
      <c r="E214" s="4664" t="s">
        <v>3243</v>
      </c>
      <c r="F214" s="4664"/>
      <c r="G214" s="4664"/>
      <c r="H214" s="4664"/>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2" t="s">
        <v>3105</v>
      </c>
      <c r="F217" s="4662"/>
      <c r="G217" s="4662"/>
      <c r="H217" s="4662"/>
    </row>
    <row r="218" spans="1:8" ht="12.75" customHeight="1">
      <c r="C218" s="1514" t="s">
        <v>4294</v>
      </c>
      <c r="E218" s="4662" t="s">
        <v>3242</v>
      </c>
      <c r="F218" s="4662"/>
      <c r="G218" s="4662"/>
      <c r="H218" s="4662"/>
    </row>
    <row r="219" spans="1:8" ht="12.75" customHeight="1">
      <c r="C219" s="1515"/>
      <c r="D219" s="1513" t="s">
        <v>3104</v>
      </c>
      <c r="E219" s="4664" t="s">
        <v>3243</v>
      </c>
      <c r="F219" s="4664"/>
      <c r="G219" s="4664"/>
      <c r="H219" s="4664"/>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2" t="s">
        <v>3105</v>
      </c>
      <c r="F224" s="4662"/>
      <c r="G224" s="4662"/>
      <c r="H224" s="4662"/>
    </row>
    <row r="225" spans="1:8" ht="12.75" customHeight="1">
      <c r="C225" s="1514" t="s">
        <v>4294</v>
      </c>
      <c r="E225" s="4662" t="s">
        <v>3242</v>
      </c>
      <c r="F225" s="4662"/>
      <c r="G225" s="4662"/>
      <c r="H225" s="4662"/>
    </row>
    <row r="226" spans="1:8" ht="12.75" customHeight="1">
      <c r="C226" s="1515"/>
      <c r="D226" s="1512" t="s">
        <v>3104</v>
      </c>
      <c r="E226" s="4663" t="s">
        <v>3243</v>
      </c>
      <c r="F226" s="4663"/>
      <c r="G226" s="4663"/>
      <c r="H226" s="4663"/>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2" t="s">
        <v>3105</v>
      </c>
      <c r="F229" s="4662"/>
      <c r="G229" s="4662"/>
      <c r="H229" s="4662"/>
    </row>
    <row r="230" spans="1:8" ht="12.75" customHeight="1">
      <c r="C230" s="1514" t="s">
        <v>4294</v>
      </c>
      <c r="E230" s="4662" t="s">
        <v>3242</v>
      </c>
      <c r="F230" s="4662"/>
      <c r="G230" s="4662"/>
      <c r="H230" s="4662"/>
    </row>
    <row r="231" spans="1:8" ht="12.75" customHeight="1">
      <c r="C231" s="1515"/>
      <c r="D231" s="1513" t="s">
        <v>3104</v>
      </c>
      <c r="E231" s="4664" t="s">
        <v>3243</v>
      </c>
      <c r="F231" s="4664"/>
      <c r="G231" s="4664"/>
      <c r="H231" s="4664"/>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2" t="s">
        <v>3105</v>
      </c>
      <c r="F234" s="4662"/>
      <c r="G234" s="4662"/>
      <c r="H234" s="4662"/>
    </row>
    <row r="235" spans="1:8" ht="12.75" customHeight="1">
      <c r="C235" s="1514" t="s">
        <v>4294</v>
      </c>
      <c r="E235" s="4662" t="s">
        <v>3242</v>
      </c>
      <c r="F235" s="4662"/>
      <c r="G235" s="4662"/>
      <c r="H235" s="4662"/>
    </row>
    <row r="236" spans="1:8" ht="12.75" customHeight="1">
      <c r="C236" s="1515"/>
      <c r="D236" s="1513" t="s">
        <v>3104</v>
      </c>
      <c r="E236" s="4664" t="s">
        <v>3243</v>
      </c>
      <c r="F236" s="4664"/>
      <c r="G236" s="4664"/>
      <c r="H236" s="4664"/>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2" t="s">
        <v>3105</v>
      </c>
      <c r="F241" s="4662"/>
      <c r="G241" s="4662"/>
      <c r="H241" s="4662"/>
    </row>
    <row r="242" spans="1:8" ht="12.75" customHeight="1">
      <c r="C242" s="1514" t="s">
        <v>4294</v>
      </c>
      <c r="E242" s="4662" t="s">
        <v>3242</v>
      </c>
      <c r="F242" s="4662"/>
      <c r="G242" s="4662"/>
      <c r="H242" s="4662"/>
    </row>
    <row r="243" spans="1:8" ht="12.75" customHeight="1">
      <c r="C243" s="1515"/>
      <c r="D243" s="1512" t="s">
        <v>3104</v>
      </c>
      <c r="E243" s="4663" t="s">
        <v>3243</v>
      </c>
      <c r="F243" s="4663"/>
      <c r="G243" s="4663"/>
      <c r="H243" s="4663"/>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2" t="s">
        <v>3105</v>
      </c>
      <c r="F246" s="4662"/>
      <c r="G246" s="4662"/>
      <c r="H246" s="4662"/>
    </row>
    <row r="247" spans="1:8" ht="12.75" customHeight="1">
      <c r="C247" s="1514" t="s">
        <v>4294</v>
      </c>
      <c r="E247" s="4662" t="s">
        <v>3242</v>
      </c>
      <c r="F247" s="4662"/>
      <c r="G247" s="4662"/>
      <c r="H247" s="4662"/>
    </row>
    <row r="248" spans="1:8" ht="12.75" customHeight="1">
      <c r="C248" s="1515"/>
      <c r="D248" s="1513" t="s">
        <v>3104</v>
      </c>
      <c r="E248" s="4664" t="s">
        <v>3243</v>
      </c>
      <c r="F248" s="4664"/>
      <c r="G248" s="4664"/>
      <c r="H248" s="4664"/>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2" t="s">
        <v>3105</v>
      </c>
      <c r="F251" s="4662"/>
      <c r="G251" s="4662"/>
      <c r="H251" s="4662"/>
    </row>
    <row r="252" spans="1:8" ht="12.75" customHeight="1">
      <c r="C252" s="1514" t="s">
        <v>4294</v>
      </c>
      <c r="E252" s="4662" t="s">
        <v>3242</v>
      </c>
      <c r="F252" s="4662"/>
      <c r="G252" s="4662"/>
      <c r="H252" s="4662"/>
    </row>
    <row r="253" spans="1:8" ht="12.75" customHeight="1">
      <c r="C253" s="1515"/>
      <c r="D253" s="1513" t="s">
        <v>3104</v>
      </c>
      <c r="E253" s="4664" t="s">
        <v>3243</v>
      </c>
      <c r="F253" s="4664"/>
      <c r="G253" s="4664"/>
      <c r="H253" s="4664"/>
    </row>
    <row r="254" spans="1:8" ht="6" customHeight="1">
      <c r="D254" s="746"/>
      <c r="E254" s="1511"/>
      <c r="F254" s="1511"/>
      <c r="G254" s="1511"/>
      <c r="H254" s="1511"/>
    </row>
    <row r="255" spans="1:8">
      <c r="A255" s="717" t="s">
        <v>3100</v>
      </c>
      <c r="B255" s="744" t="str">
        <f>IF('Part VI-Revenues &amp; Expenses'!$O$60=0,"",'Part VI-Revenues &amp; Expenses'!$O$60)</f>
        <v/>
      </c>
      <c r="C255" s="717" t="s">
        <v>4292</v>
      </c>
      <c r="D255" s="745" t="s">
        <v>4293</v>
      </c>
    </row>
    <row r="256" spans="1:8" ht="1.9" customHeight="1"/>
    <row r="257" spans="1:11" ht="12.75" customHeight="1">
      <c r="C257" s="712" t="s">
        <v>3007</v>
      </c>
      <c r="D257" s="746" t="s">
        <v>1896</v>
      </c>
      <c r="E257" s="747"/>
      <c r="F257" s="4662" t="s">
        <v>3008</v>
      </c>
      <c r="G257" s="4662"/>
      <c r="H257" s="4662"/>
      <c r="K257" s="699" t="s">
        <v>232</v>
      </c>
    </row>
    <row r="258" spans="1:11" ht="12.75" customHeight="1">
      <c r="C258" s="748" t="s">
        <v>1304</v>
      </c>
      <c r="D258" s="746" t="s">
        <v>1898</v>
      </c>
      <c r="E258" s="4662" t="s">
        <v>3106</v>
      </c>
      <c r="F258" s="4662"/>
      <c r="G258" s="4662"/>
      <c r="H258" s="4662"/>
    </row>
    <row r="259" spans="1:11" ht="12.75" customHeight="1">
      <c r="E259" s="4662" t="s">
        <v>3242</v>
      </c>
      <c r="F259" s="4662"/>
      <c r="G259" s="4662"/>
      <c r="H259" s="4662"/>
    </row>
    <row r="260" spans="1:11" ht="12.75" customHeight="1">
      <c r="D260" s="749" t="s">
        <v>3104</v>
      </c>
      <c r="E260" s="4662" t="s">
        <v>3243</v>
      </c>
      <c r="F260" s="4662"/>
      <c r="G260" s="4662"/>
      <c r="H260" s="4662"/>
    </row>
    <row r="261" spans="1:11" ht="9" customHeight="1" thickBot="1"/>
    <row r="262" spans="1:11" ht="16.149999999999999" customHeight="1" thickBot="1">
      <c r="A262" s="4670">
        <v>50</v>
      </c>
      <c r="B262" s="4671"/>
      <c r="C262" s="1516" t="s">
        <v>1000</v>
      </c>
    </row>
    <row r="263" spans="1:11" ht="9" customHeight="1">
      <c r="A263" s="702"/>
    </row>
    <row r="264" spans="1:11" ht="28.15" customHeight="1">
      <c r="A264" s="4668" t="s">
        <v>4295</v>
      </c>
      <c r="B264" s="4668"/>
      <c r="C264" s="4668"/>
      <c r="D264" s="4668"/>
      <c r="E264" s="4668"/>
      <c r="F264" s="4668"/>
      <c r="G264" s="4668"/>
      <c r="H264" s="4668"/>
    </row>
    <row r="265" spans="1:11" ht="9" customHeight="1">
      <c r="A265" s="702"/>
    </row>
    <row r="266" spans="1:11">
      <c r="A266" s="717" t="s">
        <v>3100</v>
      </c>
      <c r="B266" s="744" t="str">
        <f>IF('Part VI-Revenues &amp; Expenses'!$K$59=0,"",'Part VI-Revenues &amp; Expenses'!$K$59)</f>
        <v/>
      </c>
      <c r="C266" s="717" t="s">
        <v>4289</v>
      </c>
      <c r="D266" s="745" t="s">
        <v>4290</v>
      </c>
    </row>
    <row r="267" spans="1:11" ht="1.9" customHeight="1"/>
    <row r="268" spans="1:11" ht="12.75" customHeight="1">
      <c r="C268" s="712" t="s">
        <v>3007</v>
      </c>
      <c r="D268" s="746" t="s">
        <v>1896</v>
      </c>
      <c r="E268" s="747"/>
      <c r="F268" s="4662" t="s">
        <v>3008</v>
      </c>
      <c r="G268" s="4662"/>
      <c r="H268" s="4662"/>
    </row>
    <row r="269" spans="1:11" ht="12.75" customHeight="1">
      <c r="C269" s="748" t="s">
        <v>1304</v>
      </c>
      <c r="D269" s="746" t="s">
        <v>1898</v>
      </c>
      <c r="E269" s="4662" t="s">
        <v>3105</v>
      </c>
      <c r="F269" s="4662"/>
      <c r="G269" s="4662"/>
      <c r="H269" s="4662"/>
    </row>
    <row r="270" spans="1:11" ht="12.75" customHeight="1">
      <c r="C270" s="1514" t="s">
        <v>4294</v>
      </c>
      <c r="E270" s="4662" t="s">
        <v>3242</v>
      </c>
      <c r="F270" s="4662"/>
      <c r="G270" s="4662"/>
      <c r="H270" s="4662"/>
    </row>
    <row r="271" spans="1:11" ht="12.75" customHeight="1">
      <c r="C271" s="1515"/>
      <c r="D271" s="1513" t="s">
        <v>3104</v>
      </c>
      <c r="E271" s="4664" t="s">
        <v>3243</v>
      </c>
      <c r="F271" s="4664"/>
      <c r="G271" s="4664"/>
      <c r="H271" s="4664"/>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2" t="s">
        <v>3105</v>
      </c>
      <c r="F274" s="4662"/>
      <c r="G274" s="4662"/>
      <c r="H274" s="4662"/>
    </row>
    <row r="275" spans="1:8" ht="12.75" customHeight="1">
      <c r="C275" s="1514" t="s">
        <v>4294</v>
      </c>
      <c r="E275" s="4662" t="s">
        <v>3242</v>
      </c>
      <c r="F275" s="4662"/>
      <c r="G275" s="4662"/>
      <c r="H275" s="4662"/>
    </row>
    <row r="276" spans="1:8" ht="12.75" customHeight="1">
      <c r="C276" s="1515"/>
      <c r="D276" s="1513" t="s">
        <v>3104</v>
      </c>
      <c r="E276" s="4664" t="s">
        <v>3243</v>
      </c>
      <c r="F276" s="4664"/>
      <c r="G276" s="4664"/>
      <c r="H276" s="4664"/>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2" t="s">
        <v>3105</v>
      </c>
      <c r="F279" s="4662"/>
      <c r="G279" s="4662"/>
      <c r="H279" s="4662"/>
    </row>
    <row r="280" spans="1:8" ht="12.75" customHeight="1">
      <c r="C280" s="1514" t="s">
        <v>4294</v>
      </c>
      <c r="E280" s="4662" t="s">
        <v>3242</v>
      </c>
      <c r="F280" s="4662"/>
      <c r="G280" s="4662"/>
      <c r="H280" s="4662"/>
    </row>
    <row r="281" spans="1:8" ht="12.75" customHeight="1">
      <c r="C281" s="1515"/>
      <c r="D281" s="1513" t="s">
        <v>3104</v>
      </c>
      <c r="E281" s="4664" t="s">
        <v>3243</v>
      </c>
      <c r="F281" s="4664"/>
      <c r="G281" s="4664"/>
      <c r="H281" s="4664"/>
    </row>
    <row r="282" spans="1:8" ht="6" customHeight="1">
      <c r="D282" s="746"/>
      <c r="E282" s="1511"/>
      <c r="F282" s="1511"/>
      <c r="G282" s="1511"/>
      <c r="H282" s="1511"/>
    </row>
    <row r="283" spans="1:8">
      <c r="A283" s="717" t="s">
        <v>3100</v>
      </c>
      <c r="B283" s="744">
        <f>IF('Part VI-Revenues &amp; Expenses'!$L$59=0,"",'Part VI-Revenues &amp; Expenses'!$L$59)</f>
        <v>4</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2" t="s">
        <v>3105</v>
      </c>
      <c r="F286" s="4662"/>
      <c r="G286" s="4662"/>
      <c r="H286" s="4662"/>
    </row>
    <row r="287" spans="1:8" ht="12.75" customHeight="1">
      <c r="C287" s="1514" t="s">
        <v>4294</v>
      </c>
      <c r="E287" s="4662" t="s">
        <v>3242</v>
      </c>
      <c r="F287" s="4662"/>
      <c r="G287" s="4662"/>
      <c r="H287" s="4662"/>
    </row>
    <row r="288" spans="1:8" ht="12.75" customHeight="1">
      <c r="C288" s="1515"/>
      <c r="D288" s="1512" t="s">
        <v>3104</v>
      </c>
      <c r="E288" s="4663" t="s">
        <v>3243</v>
      </c>
      <c r="F288" s="4663"/>
      <c r="G288" s="4663"/>
      <c r="H288" s="4663"/>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2" t="s">
        <v>3105</v>
      </c>
      <c r="F291" s="4662"/>
      <c r="G291" s="4662"/>
      <c r="H291" s="4662"/>
    </row>
    <row r="292" spans="1:8" ht="12.75" customHeight="1">
      <c r="C292" s="1514" t="s">
        <v>4294</v>
      </c>
      <c r="E292" s="4662" t="s">
        <v>3242</v>
      </c>
      <c r="F292" s="4662"/>
      <c r="G292" s="4662"/>
      <c r="H292" s="4662"/>
    </row>
    <row r="293" spans="1:8" ht="12.75" customHeight="1">
      <c r="C293" s="1515"/>
      <c r="D293" s="1513" t="s">
        <v>3104</v>
      </c>
      <c r="E293" s="4664" t="s">
        <v>3243</v>
      </c>
      <c r="F293" s="4664"/>
      <c r="G293" s="4664"/>
      <c r="H293" s="4664"/>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2" t="s">
        <v>3105</v>
      </c>
      <c r="F296" s="4662"/>
      <c r="G296" s="4662"/>
      <c r="H296" s="4662"/>
    </row>
    <row r="297" spans="1:8" ht="12.75" customHeight="1">
      <c r="C297" s="1514" t="s">
        <v>4294</v>
      </c>
      <c r="E297" s="4662" t="s">
        <v>3242</v>
      </c>
      <c r="F297" s="4662"/>
      <c r="G297" s="4662"/>
      <c r="H297" s="4662"/>
    </row>
    <row r="298" spans="1:8" ht="12.75" customHeight="1">
      <c r="C298" s="1515"/>
      <c r="D298" s="1513" t="s">
        <v>3104</v>
      </c>
      <c r="E298" s="4664" t="s">
        <v>3243</v>
      </c>
      <c r="F298" s="4664"/>
      <c r="G298" s="4664"/>
      <c r="H298" s="4664"/>
    </row>
    <row r="299" spans="1:8" ht="6" customHeight="1">
      <c r="D299" s="746"/>
      <c r="E299" s="1511"/>
      <c r="F299" s="1511"/>
      <c r="G299" s="1511"/>
      <c r="H299" s="1511"/>
    </row>
    <row r="300" spans="1:8">
      <c r="A300" s="717" t="s">
        <v>3100</v>
      </c>
      <c r="B300" s="744">
        <f>IF('Part VI-Revenues &amp; Expenses'!$M$59=0,"",'Part VI-Revenues &amp; Expenses'!$M$59)</f>
        <v>8</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2" t="s">
        <v>3105</v>
      </c>
      <c r="F303" s="4662"/>
      <c r="G303" s="4662"/>
      <c r="H303" s="4662"/>
    </row>
    <row r="304" spans="1:8" ht="12.75" customHeight="1">
      <c r="C304" s="1514" t="s">
        <v>4294</v>
      </c>
      <c r="E304" s="4662" t="s">
        <v>3242</v>
      </c>
      <c r="F304" s="4662"/>
      <c r="G304" s="4662"/>
      <c r="H304" s="4662"/>
    </row>
    <row r="305" spans="1:8" ht="12.75" customHeight="1">
      <c r="C305" s="1515"/>
      <c r="D305" s="1512" t="s">
        <v>3104</v>
      </c>
      <c r="E305" s="4663" t="s">
        <v>3243</v>
      </c>
      <c r="F305" s="4663"/>
      <c r="G305" s="4663"/>
      <c r="H305" s="4663"/>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2" t="s">
        <v>3105</v>
      </c>
      <c r="F308" s="4662"/>
      <c r="G308" s="4662"/>
      <c r="H308" s="4662"/>
    </row>
    <row r="309" spans="1:8" ht="12.75" customHeight="1">
      <c r="C309" s="1514" t="s">
        <v>4294</v>
      </c>
      <c r="E309" s="4662" t="s">
        <v>3242</v>
      </c>
      <c r="F309" s="4662"/>
      <c r="G309" s="4662"/>
      <c r="H309" s="4662"/>
    </row>
    <row r="310" spans="1:8" ht="12.75" customHeight="1">
      <c r="C310" s="1515"/>
      <c r="D310" s="1513" t="s">
        <v>3104</v>
      </c>
      <c r="E310" s="4664" t="s">
        <v>3243</v>
      </c>
      <c r="F310" s="4664"/>
      <c r="G310" s="4664"/>
      <c r="H310" s="4664"/>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2" t="s">
        <v>3105</v>
      </c>
      <c r="F313" s="4662"/>
      <c r="G313" s="4662"/>
      <c r="H313" s="4662"/>
    </row>
    <row r="314" spans="1:8" ht="12.75" customHeight="1">
      <c r="C314" s="1514" t="s">
        <v>4294</v>
      </c>
      <c r="E314" s="4662" t="s">
        <v>3242</v>
      </c>
      <c r="F314" s="4662"/>
      <c r="G314" s="4662"/>
      <c r="H314" s="4662"/>
    </row>
    <row r="315" spans="1:8" ht="12.75" customHeight="1">
      <c r="C315" s="1515"/>
      <c r="D315" s="1513" t="s">
        <v>3104</v>
      </c>
      <c r="E315" s="4664" t="s">
        <v>3243</v>
      </c>
      <c r="F315" s="4664"/>
      <c r="G315" s="4664"/>
      <c r="H315" s="4664"/>
    </row>
    <row r="316" spans="1:8" ht="6" customHeight="1">
      <c r="D316" s="746"/>
      <c r="E316" s="1511"/>
      <c r="F316" s="1511"/>
      <c r="G316" s="1511"/>
      <c r="H316" s="1511"/>
    </row>
    <row r="317" spans="1:8">
      <c r="A317" s="717" t="s">
        <v>3100</v>
      </c>
      <c r="B317" s="744">
        <f>IF('Part VI-Revenues &amp; Expenses'!$N$59=0,"",'Part VI-Revenues &amp; Expenses'!$N$59)</f>
        <v>4</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2" t="s">
        <v>3105</v>
      </c>
      <c r="F320" s="4662"/>
      <c r="G320" s="4662"/>
      <c r="H320" s="4662"/>
    </row>
    <row r="321" spans="1:11" ht="12.75" customHeight="1">
      <c r="C321" s="1514" t="s">
        <v>4294</v>
      </c>
      <c r="E321" s="4662" t="s">
        <v>3242</v>
      </c>
      <c r="F321" s="4662"/>
      <c r="G321" s="4662"/>
      <c r="H321" s="4662"/>
    </row>
    <row r="322" spans="1:11" ht="12.75" customHeight="1">
      <c r="C322" s="1515"/>
      <c r="D322" s="1512" t="s">
        <v>3104</v>
      </c>
      <c r="E322" s="4663" t="s">
        <v>3243</v>
      </c>
      <c r="F322" s="4663"/>
      <c r="G322" s="4663"/>
      <c r="H322" s="4663"/>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2" t="s">
        <v>3105</v>
      </c>
      <c r="F325" s="4662"/>
      <c r="G325" s="4662"/>
      <c r="H325" s="4662"/>
    </row>
    <row r="326" spans="1:11" ht="12.75" customHeight="1">
      <c r="C326" s="1514" t="s">
        <v>4294</v>
      </c>
      <c r="E326" s="4662" t="s">
        <v>3242</v>
      </c>
      <c r="F326" s="4662"/>
      <c r="G326" s="4662"/>
      <c r="H326" s="4662"/>
    </row>
    <row r="327" spans="1:11" ht="12.75" customHeight="1">
      <c r="C327" s="1515"/>
      <c r="D327" s="1513" t="s">
        <v>3104</v>
      </c>
      <c r="E327" s="4664" t="s">
        <v>3243</v>
      </c>
      <c r="F327" s="4664"/>
      <c r="G327" s="4664"/>
      <c r="H327" s="4664"/>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2" t="s">
        <v>3105</v>
      </c>
      <c r="F330" s="4662"/>
      <c r="G330" s="4662"/>
      <c r="H330" s="4662"/>
    </row>
    <row r="331" spans="1:11" ht="12.75" customHeight="1">
      <c r="C331" s="1514" t="s">
        <v>4294</v>
      </c>
      <c r="E331" s="4662" t="s">
        <v>3242</v>
      </c>
      <c r="F331" s="4662"/>
      <c r="G331" s="4662"/>
      <c r="H331" s="4662"/>
    </row>
    <row r="332" spans="1:11" ht="12.75" customHeight="1">
      <c r="C332" s="1515"/>
      <c r="D332" s="1513" t="s">
        <v>3104</v>
      </c>
      <c r="E332" s="4664" t="s">
        <v>3243</v>
      </c>
      <c r="F332" s="4664"/>
      <c r="G332" s="4664"/>
      <c r="H332" s="4664"/>
    </row>
    <row r="333" spans="1:11" ht="6" customHeight="1">
      <c r="D333" s="746"/>
      <c r="E333" s="1511"/>
      <c r="F333" s="1511"/>
      <c r="G333" s="1511"/>
      <c r="H333" s="1511"/>
    </row>
    <row r="334" spans="1:11">
      <c r="A334" s="717" t="s">
        <v>3100</v>
      </c>
      <c r="B334" s="744" t="str">
        <f>IF('Part VI-Revenues &amp; Expenses'!$O$59=0,"",'Part VI-Revenues &amp; Expenses'!$O$59)</f>
        <v/>
      </c>
      <c r="C334" s="717" t="s">
        <v>4292</v>
      </c>
      <c r="D334" s="745" t="s">
        <v>4293</v>
      </c>
    </row>
    <row r="335" spans="1:11" ht="1.9" customHeight="1"/>
    <row r="336" spans="1:11" ht="12.75" customHeight="1">
      <c r="C336" s="712" t="s">
        <v>3007</v>
      </c>
      <c r="D336" s="746" t="s">
        <v>1896</v>
      </c>
      <c r="E336" s="747"/>
      <c r="F336" s="4662" t="s">
        <v>3008</v>
      </c>
      <c r="G336" s="4662"/>
      <c r="H336" s="4662"/>
      <c r="K336" s="699" t="s">
        <v>232</v>
      </c>
    </row>
    <row r="337" spans="1:8" ht="12.75" customHeight="1">
      <c r="C337" s="748" t="s">
        <v>1304</v>
      </c>
      <c r="D337" s="746" t="s">
        <v>1898</v>
      </c>
      <c r="E337" s="4662" t="s">
        <v>3106</v>
      </c>
      <c r="F337" s="4662"/>
      <c r="G337" s="4662"/>
      <c r="H337" s="4662"/>
    </row>
    <row r="338" spans="1:8" ht="12.75" customHeight="1">
      <c r="E338" s="4662" t="s">
        <v>3242</v>
      </c>
      <c r="F338" s="4662"/>
      <c r="G338" s="4662"/>
      <c r="H338" s="4662"/>
    </row>
    <row r="339" spans="1:8" ht="12.75" customHeight="1">
      <c r="D339" s="749" t="s">
        <v>3104</v>
      </c>
      <c r="E339" s="4662" t="s">
        <v>3243</v>
      </c>
      <c r="F339" s="4662"/>
      <c r="G339" s="4662"/>
      <c r="H339" s="4662"/>
    </row>
    <row r="340" spans="1:8" ht="9" customHeight="1"/>
    <row r="341" spans="1:8" ht="7.5" customHeight="1" thickBot="1">
      <c r="E341" s="4662"/>
      <c r="F341" s="4662"/>
      <c r="G341" s="4662"/>
      <c r="H341" s="4662"/>
    </row>
    <row r="342" spans="1:8" ht="16.149999999999999" customHeight="1" thickBot="1">
      <c r="A342" s="4670">
        <v>60</v>
      </c>
      <c r="B342" s="4671"/>
      <c r="C342" s="1516" t="s">
        <v>1000</v>
      </c>
    </row>
    <row r="343" spans="1:8" ht="9" customHeight="1">
      <c r="A343" s="702"/>
    </row>
    <row r="344" spans="1:8" ht="28.15" customHeight="1">
      <c r="A344" s="4668" t="s">
        <v>4299</v>
      </c>
      <c r="B344" s="4668"/>
      <c r="C344" s="4668"/>
      <c r="D344" s="4668"/>
      <c r="E344" s="4668"/>
      <c r="F344" s="4668"/>
      <c r="G344" s="4668"/>
      <c r="H344" s="4668"/>
    </row>
    <row r="345" spans="1:8" ht="9" customHeight="1">
      <c r="A345" s="702"/>
    </row>
    <row r="346" spans="1:8">
      <c r="A346" s="717" t="s">
        <v>3100</v>
      </c>
      <c r="B346" s="744" t="str">
        <f>IF('Part VI-Revenues &amp; Expenses'!$K$58=0,"",'Part VI-Revenues &amp; Expenses'!$K$58)</f>
        <v/>
      </c>
      <c r="C346" s="717" t="s">
        <v>4289</v>
      </c>
      <c r="D346" s="745" t="s">
        <v>4290</v>
      </c>
    </row>
    <row r="347" spans="1:8" ht="1.9" customHeight="1"/>
    <row r="348" spans="1:8" ht="12.75" customHeight="1">
      <c r="C348" s="712" t="s">
        <v>3007</v>
      </c>
      <c r="D348" s="746" t="s">
        <v>1896</v>
      </c>
      <c r="E348" s="747"/>
      <c r="F348" s="4662" t="s">
        <v>3008</v>
      </c>
      <c r="G348" s="4662"/>
      <c r="H348" s="4662"/>
    </row>
    <row r="349" spans="1:8" ht="12.75" customHeight="1">
      <c r="C349" s="748" t="s">
        <v>1304</v>
      </c>
      <c r="D349" s="746" t="s">
        <v>1898</v>
      </c>
      <c r="E349" s="4662" t="s">
        <v>3105</v>
      </c>
      <c r="F349" s="4662"/>
      <c r="G349" s="4662"/>
      <c r="H349" s="4662"/>
    </row>
    <row r="350" spans="1:8" ht="12.75" customHeight="1">
      <c r="C350" s="1514" t="s">
        <v>4294</v>
      </c>
      <c r="E350" s="4662" t="s">
        <v>3242</v>
      </c>
      <c r="F350" s="4662"/>
      <c r="G350" s="4662"/>
      <c r="H350" s="4662"/>
    </row>
    <row r="351" spans="1:8" ht="12.75" customHeight="1">
      <c r="C351" s="1515"/>
      <c r="D351" s="1513" t="s">
        <v>3104</v>
      </c>
      <c r="E351" s="4664" t="s">
        <v>3243</v>
      </c>
      <c r="F351" s="4664"/>
      <c r="G351" s="4664"/>
      <c r="H351" s="4664"/>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2" t="s">
        <v>3105</v>
      </c>
      <c r="F354" s="4662"/>
      <c r="G354" s="4662"/>
      <c r="H354" s="4662"/>
    </row>
    <row r="355" spans="1:8" ht="12.75" customHeight="1">
      <c r="C355" s="1514" t="s">
        <v>4294</v>
      </c>
      <c r="E355" s="4662" t="s">
        <v>3242</v>
      </c>
      <c r="F355" s="4662"/>
      <c r="G355" s="4662"/>
      <c r="H355" s="4662"/>
    </row>
    <row r="356" spans="1:8" ht="12.75" customHeight="1">
      <c r="C356" s="1515"/>
      <c r="D356" s="1513" t="s">
        <v>3104</v>
      </c>
      <c r="E356" s="4664" t="s">
        <v>3243</v>
      </c>
      <c r="F356" s="4664"/>
      <c r="G356" s="4664"/>
      <c r="H356" s="4664"/>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2" t="s">
        <v>3105</v>
      </c>
      <c r="F359" s="4662"/>
      <c r="G359" s="4662"/>
      <c r="H359" s="4662"/>
    </row>
    <row r="360" spans="1:8" ht="12.75" customHeight="1">
      <c r="C360" s="1514" t="s">
        <v>4294</v>
      </c>
      <c r="E360" s="4662" t="s">
        <v>3242</v>
      </c>
      <c r="F360" s="4662"/>
      <c r="G360" s="4662"/>
      <c r="H360" s="4662"/>
    </row>
    <row r="361" spans="1:8" ht="12.75" customHeight="1">
      <c r="C361" s="1515"/>
      <c r="D361" s="1513" t="s">
        <v>3104</v>
      </c>
      <c r="E361" s="4664" t="s">
        <v>3243</v>
      </c>
      <c r="F361" s="4664"/>
      <c r="G361" s="4664"/>
      <c r="H361" s="4664"/>
    </row>
    <row r="362" spans="1:8" ht="6" customHeight="1">
      <c r="D362" s="746"/>
      <c r="E362" s="1511"/>
      <c r="F362" s="1511"/>
      <c r="G362" s="1511"/>
      <c r="H362" s="1511"/>
    </row>
    <row r="363" spans="1:8">
      <c r="A363" s="717" t="s">
        <v>3100</v>
      </c>
      <c r="B363" s="744">
        <f>IF('Part VI-Revenues &amp; Expenses'!$L$58=0,"",'Part VI-Revenues &amp; Expenses'!$L$58)</f>
        <v>10</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2" t="s">
        <v>3105</v>
      </c>
      <c r="F366" s="4662"/>
      <c r="G366" s="4662"/>
      <c r="H366" s="4662"/>
    </row>
    <row r="367" spans="1:8" ht="12.75" customHeight="1">
      <c r="C367" s="1514" t="s">
        <v>4294</v>
      </c>
      <c r="E367" s="4662" t="s">
        <v>3242</v>
      </c>
      <c r="F367" s="4662"/>
      <c r="G367" s="4662"/>
      <c r="H367" s="4662"/>
    </row>
    <row r="368" spans="1:8" ht="12.75" customHeight="1">
      <c r="C368" s="1515"/>
      <c r="D368" s="1512" t="s">
        <v>3104</v>
      </c>
      <c r="E368" s="4663" t="s">
        <v>3243</v>
      </c>
      <c r="F368" s="4663"/>
      <c r="G368" s="4663"/>
      <c r="H368" s="4663"/>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2" t="s">
        <v>3105</v>
      </c>
      <c r="F371" s="4662"/>
      <c r="G371" s="4662"/>
      <c r="H371" s="4662"/>
    </row>
    <row r="372" spans="1:8" ht="12.75" customHeight="1">
      <c r="C372" s="1514" t="s">
        <v>4294</v>
      </c>
      <c r="E372" s="4662" t="s">
        <v>3242</v>
      </c>
      <c r="F372" s="4662"/>
      <c r="G372" s="4662"/>
      <c r="H372" s="4662"/>
    </row>
    <row r="373" spans="1:8" ht="12.75" customHeight="1">
      <c r="C373" s="1515"/>
      <c r="D373" s="1513" t="s">
        <v>3104</v>
      </c>
      <c r="E373" s="4664" t="s">
        <v>3243</v>
      </c>
      <c r="F373" s="4664"/>
      <c r="G373" s="4664"/>
      <c r="H373" s="4664"/>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2" t="s">
        <v>3105</v>
      </c>
      <c r="F376" s="4662"/>
      <c r="G376" s="4662"/>
      <c r="H376" s="4662"/>
    </row>
    <row r="377" spans="1:8" ht="12.75" customHeight="1">
      <c r="C377" s="1514" t="s">
        <v>4294</v>
      </c>
      <c r="E377" s="4662" t="s">
        <v>3242</v>
      </c>
      <c r="F377" s="4662"/>
      <c r="G377" s="4662"/>
      <c r="H377" s="4662"/>
    </row>
    <row r="378" spans="1:8" ht="12.75" customHeight="1">
      <c r="C378" s="1515"/>
      <c r="D378" s="1513" t="s">
        <v>3104</v>
      </c>
      <c r="E378" s="4664" t="s">
        <v>3243</v>
      </c>
      <c r="F378" s="4664"/>
      <c r="G378" s="4664"/>
      <c r="H378" s="4664"/>
    </row>
    <row r="379" spans="1:8" ht="6" customHeight="1">
      <c r="D379" s="746"/>
      <c r="E379" s="1511"/>
      <c r="F379" s="1511"/>
      <c r="G379" s="1511"/>
      <c r="H379" s="1511"/>
    </row>
    <row r="380" spans="1:8">
      <c r="A380" s="717" t="s">
        <v>3100</v>
      </c>
      <c r="B380" s="744">
        <f>IF('Part VI-Revenues &amp; Expenses'!$M$58=0,"",'Part VI-Revenues &amp; Expenses'!$M$58)</f>
        <v>28</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2" t="s">
        <v>3105</v>
      </c>
      <c r="F383" s="4662"/>
      <c r="G383" s="4662"/>
      <c r="H383" s="4662"/>
    </row>
    <row r="384" spans="1:8" ht="12.75" customHeight="1">
      <c r="C384" s="1514" t="s">
        <v>4294</v>
      </c>
      <c r="E384" s="4662" t="s">
        <v>3242</v>
      </c>
      <c r="F384" s="4662"/>
      <c r="G384" s="4662"/>
      <c r="H384" s="4662"/>
    </row>
    <row r="385" spans="1:8" ht="12.75" customHeight="1">
      <c r="C385" s="1515"/>
      <c r="D385" s="1512" t="s">
        <v>3104</v>
      </c>
      <c r="E385" s="4663" t="s">
        <v>3243</v>
      </c>
      <c r="F385" s="4663"/>
      <c r="G385" s="4663"/>
      <c r="H385" s="4663"/>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2" t="s">
        <v>3105</v>
      </c>
      <c r="F388" s="4662"/>
      <c r="G388" s="4662"/>
      <c r="H388" s="4662"/>
    </row>
    <row r="389" spans="1:8" ht="12.75" customHeight="1">
      <c r="C389" s="1514" t="s">
        <v>4294</v>
      </c>
      <c r="E389" s="4662" t="s">
        <v>3242</v>
      </c>
      <c r="F389" s="4662"/>
      <c r="G389" s="4662"/>
      <c r="H389" s="4662"/>
    </row>
    <row r="390" spans="1:8" ht="12.75" customHeight="1">
      <c r="C390" s="1515"/>
      <c r="D390" s="1513" t="s">
        <v>3104</v>
      </c>
      <c r="E390" s="4664" t="s">
        <v>3243</v>
      </c>
      <c r="F390" s="4664"/>
      <c r="G390" s="4664"/>
      <c r="H390" s="4664"/>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2" t="s">
        <v>3105</v>
      </c>
      <c r="F393" s="4662"/>
      <c r="G393" s="4662"/>
      <c r="H393" s="4662"/>
    </row>
    <row r="394" spans="1:8" ht="12.75" customHeight="1">
      <c r="C394" s="1514" t="s">
        <v>4294</v>
      </c>
      <c r="E394" s="4662" t="s">
        <v>3242</v>
      </c>
      <c r="F394" s="4662"/>
      <c r="G394" s="4662"/>
      <c r="H394" s="4662"/>
    </row>
    <row r="395" spans="1:8" ht="12.75" customHeight="1">
      <c r="C395" s="1515"/>
      <c r="D395" s="1513" t="s">
        <v>3104</v>
      </c>
      <c r="E395" s="4664" t="s">
        <v>3243</v>
      </c>
      <c r="F395" s="4664"/>
      <c r="G395" s="4664"/>
      <c r="H395" s="4664"/>
    </row>
    <row r="396" spans="1:8" ht="6" customHeight="1">
      <c r="D396" s="746"/>
      <c r="E396" s="1511"/>
      <c r="F396" s="1511"/>
      <c r="G396" s="1511"/>
      <c r="H396" s="1511"/>
    </row>
    <row r="397" spans="1:8">
      <c r="A397" s="717" t="s">
        <v>3100</v>
      </c>
      <c r="B397" s="744">
        <f>IF('Part VI-Revenues &amp; Expenses'!$N$58=0,"",'Part VI-Revenues &amp; Expenses'!$N$58)</f>
        <v>10</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2" t="s">
        <v>3105</v>
      </c>
      <c r="F400" s="4662"/>
      <c r="G400" s="4662"/>
      <c r="H400" s="4662"/>
    </row>
    <row r="401" spans="1:11" ht="12.75" customHeight="1">
      <c r="C401" s="1514" t="s">
        <v>4294</v>
      </c>
      <c r="E401" s="4662" t="s">
        <v>3242</v>
      </c>
      <c r="F401" s="4662"/>
      <c r="G401" s="4662"/>
      <c r="H401" s="4662"/>
    </row>
    <row r="402" spans="1:11" ht="12.75" customHeight="1">
      <c r="C402" s="1515"/>
      <c r="D402" s="1512" t="s">
        <v>3104</v>
      </c>
      <c r="E402" s="4663" t="s">
        <v>3243</v>
      </c>
      <c r="F402" s="4663"/>
      <c r="G402" s="4663"/>
      <c r="H402" s="4663"/>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2" t="s">
        <v>3105</v>
      </c>
      <c r="F405" s="4662"/>
      <c r="G405" s="4662"/>
      <c r="H405" s="4662"/>
    </row>
    <row r="406" spans="1:11" ht="12.75" customHeight="1">
      <c r="C406" s="1514" t="s">
        <v>4294</v>
      </c>
      <c r="E406" s="4662" t="s">
        <v>3242</v>
      </c>
      <c r="F406" s="4662"/>
      <c r="G406" s="4662"/>
      <c r="H406" s="4662"/>
    </row>
    <row r="407" spans="1:11" ht="12.75" customHeight="1">
      <c r="C407" s="1515"/>
      <c r="D407" s="1513" t="s">
        <v>3104</v>
      </c>
      <c r="E407" s="4664" t="s">
        <v>3243</v>
      </c>
      <c r="F407" s="4664"/>
      <c r="G407" s="4664"/>
      <c r="H407" s="4664"/>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2" t="s">
        <v>3105</v>
      </c>
      <c r="F410" s="4662"/>
      <c r="G410" s="4662"/>
      <c r="H410" s="4662"/>
    </row>
    <row r="411" spans="1:11" ht="12.75" customHeight="1">
      <c r="C411" s="1514" t="s">
        <v>4294</v>
      </c>
      <c r="E411" s="4662" t="s">
        <v>3242</v>
      </c>
      <c r="F411" s="4662"/>
      <c r="G411" s="4662"/>
      <c r="H411" s="4662"/>
    </row>
    <row r="412" spans="1:11" ht="12.75" customHeight="1">
      <c r="C412" s="1515"/>
      <c r="D412" s="1513" t="s">
        <v>3104</v>
      </c>
      <c r="E412" s="4664" t="s">
        <v>3243</v>
      </c>
      <c r="F412" s="4664"/>
      <c r="G412" s="4664"/>
      <c r="H412" s="4664"/>
    </row>
    <row r="413" spans="1:11" ht="6" customHeight="1">
      <c r="D413" s="746"/>
      <c r="E413" s="1511"/>
      <c r="F413" s="1511"/>
      <c r="G413" s="1511"/>
      <c r="H413" s="1511"/>
    </row>
    <row r="414" spans="1:11">
      <c r="A414" s="717" t="s">
        <v>3100</v>
      </c>
      <c r="B414" s="744" t="str">
        <f>IF('Part VI-Revenues &amp; Expenses'!$O$58=0,"",'Part VI-Revenues &amp; Expenses'!$O$58)</f>
        <v/>
      </c>
      <c r="C414" s="717" t="s">
        <v>4292</v>
      </c>
      <c r="D414" s="745" t="s">
        <v>4293</v>
      </c>
    </row>
    <row r="415" spans="1:11" ht="1.9" customHeight="1"/>
    <row r="416" spans="1:11" ht="12.75" customHeight="1">
      <c r="C416" s="712" t="s">
        <v>3007</v>
      </c>
      <c r="D416" s="746" t="s">
        <v>1896</v>
      </c>
      <c r="E416" s="747"/>
      <c r="F416" s="4662" t="s">
        <v>3008</v>
      </c>
      <c r="G416" s="4662"/>
      <c r="H416" s="4662"/>
      <c r="K416" s="699" t="s">
        <v>232</v>
      </c>
    </row>
    <row r="417" spans="1:8" ht="12.75" customHeight="1">
      <c r="C417" s="748" t="s">
        <v>1304</v>
      </c>
      <c r="D417" s="746" t="s">
        <v>1898</v>
      </c>
      <c r="E417" s="4662" t="s">
        <v>3106</v>
      </c>
      <c r="F417" s="4662"/>
      <c r="G417" s="4662"/>
      <c r="H417" s="4662"/>
    </row>
    <row r="418" spans="1:8" ht="12.75" customHeight="1">
      <c r="E418" s="4662" t="s">
        <v>3242</v>
      </c>
      <c r="F418" s="4662"/>
      <c r="G418" s="4662"/>
      <c r="H418" s="4662"/>
    </row>
    <row r="419" spans="1:8" ht="12.75" customHeight="1">
      <c r="D419" s="749" t="s">
        <v>3104</v>
      </c>
      <c r="E419" s="4662" t="s">
        <v>3243</v>
      </c>
      <c r="F419" s="4662"/>
      <c r="G419" s="4662"/>
      <c r="H419" s="4662"/>
    </row>
    <row r="420" spans="1:8" ht="9" customHeight="1" thickBot="1"/>
    <row r="421" spans="1:8" ht="16.149999999999999" customHeight="1" thickBot="1">
      <c r="A421" s="4670">
        <v>70</v>
      </c>
      <c r="B421" s="4671"/>
      <c r="C421" s="1516" t="s">
        <v>1000</v>
      </c>
    </row>
    <row r="422" spans="1:8" ht="9" customHeight="1">
      <c r="A422" s="702"/>
    </row>
    <row r="423" spans="1:8" ht="28.15" customHeight="1">
      <c r="A423" s="4668" t="s">
        <v>4300</v>
      </c>
      <c r="B423" s="4668"/>
      <c r="C423" s="4668"/>
      <c r="D423" s="4668"/>
      <c r="E423" s="4668"/>
      <c r="F423" s="4668"/>
      <c r="G423" s="4668"/>
      <c r="H423" s="4668"/>
    </row>
    <row r="424" spans="1:8" ht="9" customHeight="1">
      <c r="A424" s="702"/>
    </row>
    <row r="425" spans="1:8">
      <c r="A425" s="717" t="s">
        <v>3100</v>
      </c>
      <c r="B425" s="744" t="str">
        <f>IF('Part VI-Revenues &amp; Expenses'!$K$57=0,"",'Part VI-Revenues &amp; Expenses'!$K$57)</f>
        <v/>
      </c>
      <c r="C425" s="717" t="s">
        <v>4289</v>
      </c>
      <c r="D425" s="745" t="s">
        <v>4290</v>
      </c>
    </row>
    <row r="426" spans="1:8" ht="1.9" customHeight="1"/>
    <row r="427" spans="1:8" ht="12.75" customHeight="1">
      <c r="C427" s="712" t="s">
        <v>3007</v>
      </c>
      <c r="D427" s="746" t="s">
        <v>1896</v>
      </c>
      <c r="E427" s="747"/>
      <c r="F427" s="4662" t="s">
        <v>3008</v>
      </c>
      <c r="G427" s="4662"/>
      <c r="H427" s="4662"/>
    </row>
    <row r="428" spans="1:8" ht="12.75" customHeight="1">
      <c r="C428" s="748" t="s">
        <v>1304</v>
      </c>
      <c r="D428" s="746" t="s">
        <v>1898</v>
      </c>
      <c r="E428" s="4662" t="s">
        <v>3105</v>
      </c>
      <c r="F428" s="4662"/>
      <c r="G428" s="4662"/>
      <c r="H428" s="4662"/>
    </row>
    <row r="429" spans="1:8" ht="12.75" customHeight="1">
      <c r="C429" s="1514" t="s">
        <v>4294</v>
      </c>
      <c r="E429" s="4662" t="s">
        <v>3242</v>
      </c>
      <c r="F429" s="4662"/>
      <c r="G429" s="4662"/>
      <c r="H429" s="4662"/>
    </row>
    <row r="430" spans="1:8" ht="12.75" customHeight="1">
      <c r="C430" s="1515"/>
      <c r="D430" s="1513" t="s">
        <v>3104</v>
      </c>
      <c r="E430" s="4664" t="s">
        <v>3243</v>
      </c>
      <c r="F430" s="4664"/>
      <c r="G430" s="4664"/>
      <c r="H430" s="4664"/>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2" t="s">
        <v>3105</v>
      </c>
      <c r="F433" s="4662"/>
      <c r="G433" s="4662"/>
      <c r="H433" s="4662"/>
    </row>
    <row r="434" spans="1:8" ht="12.75" customHeight="1">
      <c r="C434" s="1514" t="s">
        <v>4294</v>
      </c>
      <c r="E434" s="4662" t="s">
        <v>3242</v>
      </c>
      <c r="F434" s="4662"/>
      <c r="G434" s="4662"/>
      <c r="H434" s="4662"/>
    </row>
    <row r="435" spans="1:8" ht="12.75" customHeight="1">
      <c r="C435" s="1515"/>
      <c r="D435" s="1513" t="s">
        <v>3104</v>
      </c>
      <c r="E435" s="4664" t="s">
        <v>3243</v>
      </c>
      <c r="F435" s="4664"/>
      <c r="G435" s="4664"/>
      <c r="H435" s="4664"/>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2" t="s">
        <v>3105</v>
      </c>
      <c r="F438" s="4662"/>
      <c r="G438" s="4662"/>
      <c r="H438" s="4662"/>
    </row>
    <row r="439" spans="1:8" ht="12.75" customHeight="1">
      <c r="C439" s="1514" t="s">
        <v>4294</v>
      </c>
      <c r="E439" s="4662" t="s">
        <v>3242</v>
      </c>
      <c r="F439" s="4662"/>
      <c r="G439" s="4662"/>
      <c r="H439" s="4662"/>
    </row>
    <row r="440" spans="1:8" ht="12.75" customHeight="1">
      <c r="C440" s="1515"/>
      <c r="D440" s="1513" t="s">
        <v>3104</v>
      </c>
      <c r="E440" s="4664" t="s">
        <v>3243</v>
      </c>
      <c r="F440" s="4664"/>
      <c r="G440" s="4664"/>
      <c r="H440" s="4664"/>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2" t="s">
        <v>3105</v>
      </c>
      <c r="F445" s="4662"/>
      <c r="G445" s="4662"/>
      <c r="H445" s="4662"/>
    </row>
    <row r="446" spans="1:8" ht="12.75" customHeight="1">
      <c r="C446" s="1514" t="s">
        <v>4294</v>
      </c>
      <c r="E446" s="4662" t="s">
        <v>3242</v>
      </c>
      <c r="F446" s="4662"/>
      <c r="G446" s="4662"/>
      <c r="H446" s="4662"/>
    </row>
    <row r="447" spans="1:8" ht="12.75" customHeight="1">
      <c r="C447" s="1515"/>
      <c r="D447" s="1512" t="s">
        <v>3104</v>
      </c>
      <c r="E447" s="4663" t="s">
        <v>3243</v>
      </c>
      <c r="F447" s="4663"/>
      <c r="G447" s="4663"/>
      <c r="H447" s="4663"/>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2" t="s">
        <v>3105</v>
      </c>
      <c r="F450" s="4662"/>
      <c r="G450" s="4662"/>
      <c r="H450" s="4662"/>
    </row>
    <row r="451" spans="1:8" ht="12.75" customHeight="1">
      <c r="C451" s="1514" t="s">
        <v>4294</v>
      </c>
      <c r="E451" s="4662" t="s">
        <v>3242</v>
      </c>
      <c r="F451" s="4662"/>
      <c r="G451" s="4662"/>
      <c r="H451" s="4662"/>
    </row>
    <row r="452" spans="1:8" ht="12.75" customHeight="1">
      <c r="C452" s="1515"/>
      <c r="D452" s="1513" t="s">
        <v>3104</v>
      </c>
      <c r="E452" s="4664" t="s">
        <v>3243</v>
      </c>
      <c r="F452" s="4664"/>
      <c r="G452" s="4664"/>
      <c r="H452" s="4664"/>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2" t="s">
        <v>3105</v>
      </c>
      <c r="F455" s="4662"/>
      <c r="G455" s="4662"/>
      <c r="H455" s="4662"/>
    </row>
    <row r="456" spans="1:8" ht="12.75" customHeight="1">
      <c r="C456" s="1514" t="s">
        <v>4294</v>
      </c>
      <c r="E456" s="4662" t="s">
        <v>3242</v>
      </c>
      <c r="F456" s="4662"/>
      <c r="G456" s="4662"/>
      <c r="H456" s="4662"/>
    </row>
    <row r="457" spans="1:8" ht="12.75" customHeight="1">
      <c r="C457" s="1515"/>
      <c r="D457" s="1513" t="s">
        <v>3104</v>
      </c>
      <c r="E457" s="4664" t="s">
        <v>3243</v>
      </c>
      <c r="F457" s="4664"/>
      <c r="G457" s="4664"/>
      <c r="H457" s="4664"/>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2" t="s">
        <v>3105</v>
      </c>
      <c r="F462" s="4662"/>
      <c r="G462" s="4662"/>
      <c r="H462" s="4662"/>
    </row>
    <row r="463" spans="1:8" ht="12.75" customHeight="1">
      <c r="C463" s="1514" t="s">
        <v>4294</v>
      </c>
      <c r="E463" s="4662" t="s">
        <v>3242</v>
      </c>
      <c r="F463" s="4662"/>
      <c r="G463" s="4662"/>
      <c r="H463" s="4662"/>
    </row>
    <row r="464" spans="1:8" ht="12.75" customHeight="1">
      <c r="C464" s="1515"/>
      <c r="D464" s="1512" t="s">
        <v>3104</v>
      </c>
      <c r="E464" s="4663" t="s">
        <v>3243</v>
      </c>
      <c r="F464" s="4663"/>
      <c r="G464" s="4663"/>
      <c r="H464" s="4663"/>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2" t="s">
        <v>3105</v>
      </c>
      <c r="F467" s="4662"/>
      <c r="G467" s="4662"/>
      <c r="H467" s="4662"/>
    </row>
    <row r="468" spans="1:8" ht="12.75" customHeight="1">
      <c r="C468" s="1514" t="s">
        <v>4294</v>
      </c>
      <c r="E468" s="4662" t="s">
        <v>3242</v>
      </c>
      <c r="F468" s="4662"/>
      <c r="G468" s="4662"/>
      <c r="H468" s="4662"/>
    </row>
    <row r="469" spans="1:8" ht="12.75" customHeight="1">
      <c r="C469" s="1515"/>
      <c r="D469" s="1513" t="s">
        <v>3104</v>
      </c>
      <c r="E469" s="4664" t="s">
        <v>3243</v>
      </c>
      <c r="F469" s="4664"/>
      <c r="G469" s="4664"/>
      <c r="H469" s="4664"/>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2" t="s">
        <v>3105</v>
      </c>
      <c r="F472" s="4662"/>
      <c r="G472" s="4662"/>
      <c r="H472" s="4662"/>
    </row>
    <row r="473" spans="1:8" ht="12.75" customHeight="1">
      <c r="C473" s="1514" t="s">
        <v>4294</v>
      </c>
      <c r="E473" s="4662" t="s">
        <v>3242</v>
      </c>
      <c r="F473" s="4662"/>
      <c r="G473" s="4662"/>
      <c r="H473" s="4662"/>
    </row>
    <row r="474" spans="1:8" ht="12.75" customHeight="1">
      <c r="C474" s="1515"/>
      <c r="D474" s="1513" t="s">
        <v>3104</v>
      </c>
      <c r="E474" s="4664" t="s">
        <v>3243</v>
      </c>
      <c r="F474" s="4664"/>
      <c r="G474" s="4664"/>
      <c r="H474" s="4664"/>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2" t="s">
        <v>3105</v>
      </c>
      <c r="F479" s="4662"/>
      <c r="G479" s="4662"/>
      <c r="H479" s="4662"/>
    </row>
    <row r="480" spans="1:8" ht="12.75" customHeight="1">
      <c r="C480" s="1514" t="s">
        <v>4294</v>
      </c>
      <c r="E480" s="4662" t="s">
        <v>3242</v>
      </c>
      <c r="F480" s="4662"/>
      <c r="G480" s="4662"/>
      <c r="H480" s="4662"/>
    </row>
    <row r="481" spans="1:11" ht="12.75" customHeight="1">
      <c r="C481" s="1515"/>
      <c r="D481" s="1512" t="s">
        <v>3104</v>
      </c>
      <c r="E481" s="4663" t="s">
        <v>3243</v>
      </c>
      <c r="F481" s="4663"/>
      <c r="G481" s="4663"/>
      <c r="H481" s="4663"/>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2" t="s">
        <v>3105</v>
      </c>
      <c r="F484" s="4662"/>
      <c r="G484" s="4662"/>
      <c r="H484" s="4662"/>
    </row>
    <row r="485" spans="1:11" ht="12.75" customHeight="1">
      <c r="C485" s="1514" t="s">
        <v>4294</v>
      </c>
      <c r="E485" s="4662" t="s">
        <v>3242</v>
      </c>
      <c r="F485" s="4662"/>
      <c r="G485" s="4662"/>
      <c r="H485" s="4662"/>
    </row>
    <row r="486" spans="1:11" ht="12.75" customHeight="1">
      <c r="C486" s="1515"/>
      <c r="D486" s="1513" t="s">
        <v>3104</v>
      </c>
      <c r="E486" s="4664" t="s">
        <v>3243</v>
      </c>
      <c r="F486" s="4664"/>
      <c r="G486" s="4664"/>
      <c r="H486" s="4664"/>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2" t="s">
        <v>3105</v>
      </c>
      <c r="F489" s="4662"/>
      <c r="G489" s="4662"/>
      <c r="H489" s="4662"/>
    </row>
    <row r="490" spans="1:11" ht="12.75" customHeight="1">
      <c r="C490" s="1514" t="s">
        <v>4294</v>
      </c>
      <c r="E490" s="4662" t="s">
        <v>3242</v>
      </c>
      <c r="F490" s="4662"/>
      <c r="G490" s="4662"/>
      <c r="H490" s="4662"/>
    </row>
    <row r="491" spans="1:11" ht="12.75" customHeight="1">
      <c r="C491" s="1515"/>
      <c r="D491" s="1513" t="s">
        <v>3104</v>
      </c>
      <c r="E491" s="4664" t="s">
        <v>3243</v>
      </c>
      <c r="F491" s="4664"/>
      <c r="G491" s="4664"/>
      <c r="H491" s="4664"/>
    </row>
    <row r="492" spans="1:11" ht="6" customHeight="1">
      <c r="D492" s="746"/>
      <c r="E492" s="1511"/>
      <c r="F492" s="1511"/>
      <c r="G492" s="1511"/>
      <c r="H492" s="1511"/>
    </row>
    <row r="493" spans="1:11">
      <c r="A493" s="717" t="s">
        <v>3100</v>
      </c>
      <c r="B493" s="744" t="str">
        <f>IF('Part VI-Revenues &amp; Expenses'!$O$57=0,"",'Part VI-Revenues &amp; Expenses'!$O$57)</f>
        <v/>
      </c>
      <c r="C493" s="717" t="s">
        <v>4292</v>
      </c>
      <c r="D493" s="745" t="s">
        <v>4293</v>
      </c>
    </row>
    <row r="494" spans="1:11" ht="1.9" customHeight="1"/>
    <row r="495" spans="1:11" ht="12.75" customHeight="1">
      <c r="C495" s="712" t="s">
        <v>3007</v>
      </c>
      <c r="D495" s="746" t="s">
        <v>1896</v>
      </c>
      <c r="E495" s="747"/>
      <c r="F495" s="4662" t="s">
        <v>3008</v>
      </c>
      <c r="G495" s="4662"/>
      <c r="H495" s="4662"/>
      <c r="K495" s="699" t="s">
        <v>232</v>
      </c>
    </row>
    <row r="496" spans="1:11" ht="12.75" customHeight="1">
      <c r="C496" s="748" t="s">
        <v>1304</v>
      </c>
      <c r="D496" s="746" t="s">
        <v>1898</v>
      </c>
      <c r="E496" s="4662" t="s">
        <v>3106</v>
      </c>
      <c r="F496" s="4662"/>
      <c r="G496" s="4662"/>
      <c r="H496" s="4662"/>
    </row>
    <row r="497" spans="1:8" ht="12.75" customHeight="1">
      <c r="E497" s="4662" t="s">
        <v>3242</v>
      </c>
      <c r="F497" s="4662"/>
      <c r="G497" s="4662"/>
      <c r="H497" s="4662"/>
    </row>
    <row r="498" spans="1:8" ht="12.75" customHeight="1">
      <c r="D498" s="749" t="s">
        <v>3104</v>
      </c>
      <c r="E498" s="4662" t="s">
        <v>3243</v>
      </c>
      <c r="F498" s="4662"/>
      <c r="G498" s="4662"/>
      <c r="H498" s="4662"/>
    </row>
    <row r="499" spans="1:8" ht="9" customHeight="1" thickBot="1"/>
    <row r="500" spans="1:8" ht="16.149999999999999" customHeight="1" thickBot="1">
      <c r="A500" s="4670">
        <v>80</v>
      </c>
      <c r="B500" s="4671"/>
      <c r="C500" s="1516" t="s">
        <v>1000</v>
      </c>
    </row>
    <row r="501" spans="1:8" ht="9" customHeight="1">
      <c r="A501" s="702"/>
    </row>
    <row r="502" spans="1:8" ht="28.15" customHeight="1">
      <c r="A502" s="4668" t="s">
        <v>4301</v>
      </c>
      <c r="B502" s="4668"/>
      <c r="C502" s="4668"/>
      <c r="D502" s="4668"/>
      <c r="E502" s="4668"/>
      <c r="F502" s="4668"/>
      <c r="G502" s="4668"/>
      <c r="H502" s="4668"/>
    </row>
    <row r="503" spans="1:8" ht="9" customHeight="1">
      <c r="A503" s="702"/>
    </row>
    <row r="504" spans="1:8">
      <c r="A504" s="717" t="s">
        <v>3100</v>
      </c>
      <c r="B504" s="744" t="str">
        <f>IF('Part VI-Revenues &amp; Expenses'!$K$56=0,"",'Part VI-Revenues &amp; Expenses'!$K$56)</f>
        <v/>
      </c>
      <c r="C504" s="717" t="s">
        <v>4289</v>
      </c>
      <c r="D504" s="745" t="s">
        <v>4290</v>
      </c>
    </row>
    <row r="505" spans="1:8" ht="1.9" customHeight="1"/>
    <row r="506" spans="1:8" ht="12.75" customHeight="1">
      <c r="C506" s="712" t="s">
        <v>3007</v>
      </c>
      <c r="D506" s="746" t="s">
        <v>1896</v>
      </c>
      <c r="E506" s="747"/>
      <c r="F506" s="4662" t="s">
        <v>3008</v>
      </c>
      <c r="G506" s="4662"/>
      <c r="H506" s="4662"/>
    </row>
    <row r="507" spans="1:8" ht="12.75" customHeight="1">
      <c r="C507" s="748" t="s">
        <v>1304</v>
      </c>
      <c r="D507" s="746" t="s">
        <v>1898</v>
      </c>
      <c r="E507" s="4662" t="s">
        <v>3105</v>
      </c>
      <c r="F507" s="4662"/>
      <c r="G507" s="4662"/>
      <c r="H507" s="4662"/>
    </row>
    <row r="508" spans="1:8" ht="12.75" customHeight="1">
      <c r="C508" s="1514" t="s">
        <v>4294</v>
      </c>
      <c r="E508" s="4662" t="s">
        <v>3242</v>
      </c>
      <c r="F508" s="4662"/>
      <c r="G508" s="4662"/>
      <c r="H508" s="4662"/>
    </row>
    <row r="509" spans="1:8" ht="12.75" customHeight="1">
      <c r="C509" s="1515"/>
      <c r="D509" s="1513" t="s">
        <v>3104</v>
      </c>
      <c r="E509" s="4664" t="s">
        <v>3243</v>
      </c>
      <c r="F509" s="4664"/>
      <c r="G509" s="4664"/>
      <c r="H509" s="4664"/>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2" t="s">
        <v>3105</v>
      </c>
      <c r="F512" s="4662"/>
      <c r="G512" s="4662"/>
      <c r="H512" s="4662"/>
    </row>
    <row r="513" spans="1:8" ht="12.75" customHeight="1">
      <c r="C513" s="1514" t="s">
        <v>4294</v>
      </c>
      <c r="E513" s="4662" t="s">
        <v>3242</v>
      </c>
      <c r="F513" s="4662"/>
      <c r="G513" s="4662"/>
      <c r="H513" s="4662"/>
    </row>
    <row r="514" spans="1:8" ht="12.75" customHeight="1">
      <c r="C514" s="1515"/>
      <c r="D514" s="1513" t="s">
        <v>3104</v>
      </c>
      <c r="E514" s="4664" t="s">
        <v>3243</v>
      </c>
      <c r="F514" s="4664"/>
      <c r="G514" s="4664"/>
      <c r="H514" s="4664"/>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2" t="s">
        <v>3105</v>
      </c>
      <c r="F517" s="4662"/>
      <c r="G517" s="4662"/>
      <c r="H517" s="4662"/>
    </row>
    <row r="518" spans="1:8" ht="12.75" customHeight="1">
      <c r="C518" s="1514" t="s">
        <v>4294</v>
      </c>
      <c r="E518" s="4662" t="s">
        <v>3242</v>
      </c>
      <c r="F518" s="4662"/>
      <c r="G518" s="4662"/>
      <c r="H518" s="4662"/>
    </row>
    <row r="519" spans="1:8" ht="12.75" customHeight="1">
      <c r="C519" s="1515"/>
      <c r="D519" s="1513" t="s">
        <v>3104</v>
      </c>
      <c r="E519" s="4664" t="s">
        <v>3243</v>
      </c>
      <c r="F519" s="4664"/>
      <c r="G519" s="4664"/>
      <c r="H519" s="4664"/>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2" t="s">
        <v>3105</v>
      </c>
      <c r="F524" s="4662"/>
      <c r="G524" s="4662"/>
      <c r="H524" s="4662"/>
    </row>
    <row r="525" spans="1:8" ht="12.75" customHeight="1">
      <c r="C525" s="1514" t="s">
        <v>4294</v>
      </c>
      <c r="E525" s="4662" t="s">
        <v>3242</v>
      </c>
      <c r="F525" s="4662"/>
      <c r="G525" s="4662"/>
      <c r="H525" s="4662"/>
    </row>
    <row r="526" spans="1:8" ht="12.75" customHeight="1">
      <c r="C526" s="1515"/>
      <c r="D526" s="1512" t="s">
        <v>3104</v>
      </c>
      <c r="E526" s="4663" t="s">
        <v>3243</v>
      </c>
      <c r="F526" s="4663"/>
      <c r="G526" s="4663"/>
      <c r="H526" s="4663"/>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2" t="s">
        <v>3105</v>
      </c>
      <c r="F529" s="4662"/>
      <c r="G529" s="4662"/>
      <c r="H529" s="4662"/>
    </row>
    <row r="530" spans="1:8" ht="12.75" customHeight="1">
      <c r="C530" s="1514" t="s">
        <v>4294</v>
      </c>
      <c r="E530" s="4662" t="s">
        <v>3242</v>
      </c>
      <c r="F530" s="4662"/>
      <c r="G530" s="4662"/>
      <c r="H530" s="4662"/>
    </row>
    <row r="531" spans="1:8" ht="12.75" customHeight="1">
      <c r="C531" s="1515"/>
      <c r="D531" s="1513" t="s">
        <v>3104</v>
      </c>
      <c r="E531" s="4664" t="s">
        <v>3243</v>
      </c>
      <c r="F531" s="4664"/>
      <c r="G531" s="4664"/>
      <c r="H531" s="4664"/>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2" t="s">
        <v>3105</v>
      </c>
      <c r="F534" s="4662"/>
      <c r="G534" s="4662"/>
      <c r="H534" s="4662"/>
    </row>
    <row r="535" spans="1:8" ht="12.75" customHeight="1">
      <c r="C535" s="1514" t="s">
        <v>4294</v>
      </c>
      <c r="E535" s="4662" t="s">
        <v>3242</v>
      </c>
      <c r="F535" s="4662"/>
      <c r="G535" s="4662"/>
      <c r="H535" s="4662"/>
    </row>
    <row r="536" spans="1:8" ht="12.75" customHeight="1">
      <c r="C536" s="1515"/>
      <c r="D536" s="1513" t="s">
        <v>3104</v>
      </c>
      <c r="E536" s="4664" t="s">
        <v>3243</v>
      </c>
      <c r="F536" s="4664"/>
      <c r="G536" s="4664"/>
      <c r="H536" s="4664"/>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2" t="s">
        <v>3105</v>
      </c>
      <c r="F541" s="4662"/>
      <c r="G541" s="4662"/>
      <c r="H541" s="4662"/>
    </row>
    <row r="542" spans="1:8" ht="12.75" customHeight="1">
      <c r="C542" s="1514" t="s">
        <v>4294</v>
      </c>
      <c r="E542" s="4662" t="s">
        <v>3242</v>
      </c>
      <c r="F542" s="4662"/>
      <c r="G542" s="4662"/>
      <c r="H542" s="4662"/>
    </row>
    <row r="543" spans="1:8" ht="12.75" customHeight="1">
      <c r="C543" s="1515"/>
      <c r="D543" s="1512" t="s">
        <v>3104</v>
      </c>
      <c r="E543" s="4663" t="s">
        <v>3243</v>
      </c>
      <c r="F543" s="4663"/>
      <c r="G543" s="4663"/>
      <c r="H543" s="4663"/>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2" t="s">
        <v>3105</v>
      </c>
      <c r="F546" s="4662"/>
      <c r="G546" s="4662"/>
      <c r="H546" s="4662"/>
    </row>
    <row r="547" spans="1:8" ht="12.75" customHeight="1">
      <c r="C547" s="1514" t="s">
        <v>4294</v>
      </c>
      <c r="E547" s="4662" t="s">
        <v>3242</v>
      </c>
      <c r="F547" s="4662"/>
      <c r="G547" s="4662"/>
      <c r="H547" s="4662"/>
    </row>
    <row r="548" spans="1:8" ht="12.75" customHeight="1">
      <c r="C548" s="1515"/>
      <c r="D548" s="1513" t="s">
        <v>3104</v>
      </c>
      <c r="E548" s="4664" t="s">
        <v>3243</v>
      </c>
      <c r="F548" s="4664"/>
      <c r="G548" s="4664"/>
      <c r="H548" s="4664"/>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2" t="s">
        <v>3105</v>
      </c>
      <c r="F551" s="4662"/>
      <c r="G551" s="4662"/>
      <c r="H551" s="4662"/>
    </row>
    <row r="552" spans="1:8" ht="12.75" customHeight="1">
      <c r="C552" s="1514" t="s">
        <v>4294</v>
      </c>
      <c r="E552" s="4662" t="s">
        <v>3242</v>
      </c>
      <c r="F552" s="4662"/>
      <c r="G552" s="4662"/>
      <c r="H552" s="4662"/>
    </row>
    <row r="553" spans="1:8" ht="12.75" customHeight="1">
      <c r="C553" s="1515"/>
      <c r="D553" s="1513" t="s">
        <v>3104</v>
      </c>
      <c r="E553" s="4664" t="s">
        <v>3243</v>
      </c>
      <c r="F553" s="4664"/>
      <c r="G553" s="4664"/>
      <c r="H553" s="4664"/>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2" t="s">
        <v>3105</v>
      </c>
      <c r="F558" s="4662"/>
      <c r="G558" s="4662"/>
      <c r="H558" s="4662"/>
    </row>
    <row r="559" spans="1:8" ht="12.75" customHeight="1">
      <c r="C559" s="1514" t="s">
        <v>4294</v>
      </c>
      <c r="E559" s="4662" t="s">
        <v>3242</v>
      </c>
      <c r="F559" s="4662"/>
      <c r="G559" s="4662"/>
      <c r="H559" s="4662"/>
    </row>
    <row r="560" spans="1:8" ht="12.75" customHeight="1">
      <c r="C560" s="1515"/>
      <c r="D560" s="1512" t="s">
        <v>3104</v>
      </c>
      <c r="E560" s="4663" t="s">
        <v>3243</v>
      </c>
      <c r="F560" s="4663"/>
      <c r="G560" s="4663"/>
      <c r="H560" s="4663"/>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2" t="s">
        <v>3105</v>
      </c>
      <c r="F563" s="4662"/>
      <c r="G563" s="4662"/>
      <c r="H563" s="4662"/>
    </row>
    <row r="564" spans="1:11" ht="12.75" customHeight="1">
      <c r="C564" s="1514" t="s">
        <v>4294</v>
      </c>
      <c r="E564" s="4662" t="s">
        <v>3242</v>
      </c>
      <c r="F564" s="4662"/>
      <c r="G564" s="4662"/>
      <c r="H564" s="4662"/>
    </row>
    <row r="565" spans="1:11" ht="12.75" customHeight="1">
      <c r="C565" s="1515"/>
      <c r="D565" s="1513" t="s">
        <v>3104</v>
      </c>
      <c r="E565" s="4664" t="s">
        <v>3243</v>
      </c>
      <c r="F565" s="4664"/>
      <c r="G565" s="4664"/>
      <c r="H565" s="4664"/>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2" t="s">
        <v>3105</v>
      </c>
      <c r="F568" s="4662"/>
      <c r="G568" s="4662"/>
      <c r="H568" s="4662"/>
    </row>
    <row r="569" spans="1:11" ht="12.75" customHeight="1">
      <c r="C569" s="1514" t="s">
        <v>4294</v>
      </c>
      <c r="E569" s="4662" t="s">
        <v>3242</v>
      </c>
      <c r="F569" s="4662"/>
      <c r="G569" s="4662"/>
      <c r="H569" s="4662"/>
    </row>
    <row r="570" spans="1:11" ht="12.75" customHeight="1">
      <c r="C570" s="1515"/>
      <c r="D570" s="1513" t="s">
        <v>3104</v>
      </c>
      <c r="E570" s="4664" t="s">
        <v>3243</v>
      </c>
      <c r="F570" s="4664"/>
      <c r="G570" s="4664"/>
      <c r="H570" s="4664"/>
    </row>
    <row r="571" spans="1:11" ht="6" customHeight="1">
      <c r="D571" s="746"/>
      <c r="E571" s="1511"/>
      <c r="F571" s="1511"/>
      <c r="G571" s="1511"/>
      <c r="H571" s="1511"/>
    </row>
    <row r="572" spans="1:11">
      <c r="A572" s="717" t="s">
        <v>3100</v>
      </c>
      <c r="B572" s="744" t="str">
        <f>IF('Part VI-Revenues &amp; Expenses'!$O$56=0,"",'Part VI-Revenues &amp; Expenses'!$O$56)</f>
        <v/>
      </c>
      <c r="C572" s="717" t="s">
        <v>4292</v>
      </c>
      <c r="D572" s="745" t="s">
        <v>4293</v>
      </c>
    </row>
    <row r="573" spans="1:11" ht="1.9" customHeight="1"/>
    <row r="574" spans="1:11" ht="12.75" customHeight="1">
      <c r="C574" s="712" t="s">
        <v>3007</v>
      </c>
      <c r="D574" s="746" t="s">
        <v>1896</v>
      </c>
      <c r="E574" s="747"/>
      <c r="F574" s="4662" t="s">
        <v>3008</v>
      </c>
      <c r="G574" s="4662"/>
      <c r="H574" s="4662"/>
      <c r="K574" s="699" t="s">
        <v>232</v>
      </c>
    </row>
    <row r="575" spans="1:11" ht="12.75" customHeight="1">
      <c r="C575" s="748" t="s">
        <v>1304</v>
      </c>
      <c r="D575" s="746" t="s">
        <v>1898</v>
      </c>
      <c r="E575" s="4662" t="s">
        <v>3106</v>
      </c>
      <c r="F575" s="4662"/>
      <c r="G575" s="4662"/>
      <c r="H575" s="4662"/>
    </row>
    <row r="576" spans="1:11" ht="12.75" customHeight="1">
      <c r="E576" s="4662" t="s">
        <v>3242</v>
      </c>
      <c r="F576" s="4662"/>
      <c r="G576" s="4662"/>
      <c r="H576" s="4662"/>
    </row>
    <row r="577" spans="4:8" ht="12.75" customHeight="1">
      <c r="D577" s="749" t="s">
        <v>3104</v>
      </c>
      <c r="E577" s="4662" t="s">
        <v>3243</v>
      </c>
      <c r="F577" s="4662"/>
      <c r="G577" s="4662"/>
      <c r="H577" s="4662"/>
    </row>
    <row r="578" spans="4:8" ht="9" customHeight="1"/>
    <row r="579" spans="4:8" ht="7.5" customHeight="1">
      <c r="E579" s="4662"/>
      <c r="F579" s="4662"/>
      <c r="G579" s="4662"/>
      <c r="H579" s="466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Hunters Haven</v>
      </c>
    </row>
    <row r="2" spans="1:14">
      <c r="A2" s="636" t="s">
        <v>3002</v>
      </c>
      <c r="H2" s="699" t="str">
        <f>'Sensitivity Analysis'!E8</f>
        <v>2021-041</v>
      </c>
    </row>
    <row r="3" spans="1:14" ht="3" customHeight="1"/>
    <row r="4" spans="1:14" ht="69.599999999999994" customHeight="1">
      <c r="A4" s="4665" t="s">
        <v>3098</v>
      </c>
      <c r="B4" s="4665"/>
      <c r="C4" s="4665"/>
      <c r="D4" s="4665"/>
      <c r="E4" s="4665"/>
      <c r="F4" s="4665"/>
      <c r="G4" s="4665"/>
      <c r="H4" s="4665"/>
      <c r="I4" s="4665"/>
      <c r="J4" s="4665"/>
      <c r="K4" s="4665"/>
      <c r="L4" s="4672">
        <f>SUM('Part VII-Pro Forma'!B15:B17)/12</f>
        <v>44897.23799999999</v>
      </c>
      <c r="M4" s="4672"/>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5" t="s">
        <v>3004</v>
      </c>
      <c r="D7" s="4665"/>
      <c r="E7" s="4665"/>
      <c r="F7" s="4665"/>
      <c r="G7" s="4665"/>
      <c r="H7" s="4665"/>
      <c r="I7" s="4665"/>
      <c r="J7" s="4665"/>
      <c r="K7" s="4665"/>
      <c r="L7" s="4665"/>
      <c r="M7" s="4665"/>
    </row>
    <row r="8" spans="1:14" ht="3" customHeight="1"/>
    <row r="9" spans="1:14">
      <c r="A9" s="699" t="s">
        <v>3005</v>
      </c>
    </row>
    <row r="10" spans="1:14" ht="1.5" customHeight="1"/>
    <row r="11" spans="1:14" ht="26.25" customHeight="1">
      <c r="A11" s="743" t="s">
        <v>1893</v>
      </c>
      <c r="B11" s="4665" t="s">
        <v>3095</v>
      </c>
      <c r="C11" s="4665"/>
      <c r="D11" s="4665"/>
      <c r="E11" s="4665"/>
      <c r="F11" s="4665"/>
      <c r="G11" s="4665"/>
      <c r="H11" s="4665"/>
      <c r="I11" s="4665"/>
      <c r="J11" s="4665"/>
      <c r="K11" s="4665"/>
      <c r="L11" s="4666">
        <f>'Part III-Sources of Funds'!I51+'Part III-Sources of Funds'!I52</f>
        <v>13499150</v>
      </c>
      <c r="M11" s="4666"/>
    </row>
    <row r="12" spans="1:14" ht="1.5" customHeight="1">
      <c r="G12" s="712"/>
      <c r="H12" s="712"/>
    </row>
    <row r="13" spans="1:14" ht="25.9" customHeight="1">
      <c r="A13" s="743" t="s">
        <v>1895</v>
      </c>
      <c r="B13" s="4665" t="s">
        <v>3096</v>
      </c>
      <c r="C13" s="4665"/>
      <c r="D13" s="4665"/>
      <c r="E13" s="4665"/>
      <c r="F13" s="4665"/>
      <c r="G13" s="4665"/>
      <c r="H13" s="4665"/>
      <c r="I13" s="4665"/>
      <c r="J13" s="4665"/>
      <c r="K13" s="4665"/>
      <c r="L13" s="4667" t="s">
        <v>2933</v>
      </c>
      <c r="M13" s="4667"/>
    </row>
    <row r="14" spans="1:14">
      <c r="A14" s="743"/>
      <c r="B14" s="4494"/>
      <c r="C14" s="4494"/>
      <c r="D14" s="4494"/>
      <c r="E14" s="4494"/>
      <c r="F14" s="4494"/>
      <c r="G14" s="4494"/>
      <c r="H14" s="4494"/>
    </row>
    <row r="15" spans="1:14" ht="3" customHeight="1"/>
    <row r="16" spans="1:14">
      <c r="A16" s="743" t="s">
        <v>719</v>
      </c>
      <c r="B16" s="699" t="s">
        <v>3099</v>
      </c>
      <c r="F16" s="735"/>
      <c r="L16" s="4479" t="s">
        <v>2772</v>
      </c>
      <c r="M16" s="4479"/>
    </row>
    <row r="17" spans="1:19" ht="1.5" customHeight="1">
      <c r="L17" s="717"/>
    </row>
    <row r="18" spans="1:19" ht="12" customHeight="1">
      <c r="A18" s="743" t="s">
        <v>2021</v>
      </c>
      <c r="B18" s="712" t="s">
        <v>3097</v>
      </c>
      <c r="C18" s="743"/>
      <c r="D18" s="743"/>
      <c r="E18" s="743"/>
      <c r="L18" s="4494" t="s">
        <v>2625</v>
      </c>
      <c r="M18" s="4494"/>
    </row>
    <row r="19" spans="1:19" ht="12" hidden="1" customHeight="1">
      <c r="B19" s="4494"/>
      <c r="C19" s="4494"/>
      <c r="D19" s="4494"/>
      <c r="E19" s="4494"/>
      <c r="F19" s="4494"/>
      <c r="G19" s="4494"/>
      <c r="H19" s="4494"/>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79" t="s">
        <v>4291</v>
      </c>
      <c r="B23" s="4679"/>
      <c r="C23" s="4679"/>
      <c r="D23" s="4679"/>
      <c r="E23" s="4679"/>
      <c r="F23" s="4679"/>
      <c r="G23" s="4679"/>
      <c r="H23" s="4679"/>
      <c r="I23" s="4679"/>
      <c r="J23" s="4679"/>
      <c r="K23" s="4679"/>
      <c r="L23" s="4679"/>
      <c r="M23" s="4679"/>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10</v>
      </c>
      <c r="G27" s="1658">
        <f>'Part VI-Revenues &amp; Expenses'!M58</f>
        <v>28</v>
      </c>
      <c r="H27" s="1658">
        <f>'Part VI-Revenues &amp; Expenses'!N58</f>
        <v>10</v>
      </c>
      <c r="I27" s="1658">
        <f>'Part VI-Revenues &amp; Expenses'!O58</f>
        <v>0</v>
      </c>
      <c r="J27" s="1659">
        <f>'Part VI-Revenues &amp; Expenses'!P58</f>
        <v>48</v>
      </c>
    </row>
    <row r="28" spans="1:19" s="498" customFormat="1" ht="15" customHeight="1">
      <c r="C28" s="1653" t="s">
        <v>111</v>
      </c>
      <c r="D28" s="1645"/>
      <c r="E28" s="1657">
        <f>'Part VI-Revenues &amp; Expenses'!K59</f>
        <v>0</v>
      </c>
      <c r="F28" s="1658">
        <f>'Part VI-Revenues &amp; Expenses'!L59</f>
        <v>4</v>
      </c>
      <c r="G28" s="1658">
        <f>'Part VI-Revenues &amp; Expenses'!M59</f>
        <v>8</v>
      </c>
      <c r="H28" s="1658">
        <f>'Part VI-Revenues &amp; Expenses'!N59</f>
        <v>4</v>
      </c>
      <c r="I28" s="1658">
        <f>'Part VI-Revenues &amp; Expenses'!O59</f>
        <v>0</v>
      </c>
      <c r="J28" s="1659">
        <f>'Part VI-Revenues &amp; Expenses'!P59</f>
        <v>16</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14</v>
      </c>
      <c r="G32" s="1651">
        <f>'Part VI-Revenues &amp; Expenses'!M63</f>
        <v>36</v>
      </c>
      <c r="H32" s="1651">
        <f>'Part VI-Revenues &amp; Expenses'!N63</f>
        <v>14</v>
      </c>
      <c r="I32" s="1651">
        <f>'Part VI-Revenues &amp; Expenses'!O63</f>
        <v>0</v>
      </c>
      <c r="J32" s="1661">
        <f>'Part VI-Revenues &amp; Expenses'!P63</f>
        <v>64</v>
      </c>
    </row>
    <row r="33" spans="1:12" s="498" customFormat="1" ht="13.15" customHeight="1" thickBot="1">
      <c r="K33" s="1638"/>
    </row>
    <row r="34" spans="1:12" s="498" customFormat="1" ht="14.25" customHeight="1" thickBot="1">
      <c r="A34" s="1638"/>
      <c r="B34" s="4680" t="s">
        <v>6422</v>
      </c>
      <c r="E34" s="4681" t="s">
        <v>6277</v>
      </c>
      <c r="F34" s="4682"/>
      <c r="G34" s="4682"/>
      <c r="H34" s="4682"/>
      <c r="I34" s="4682"/>
      <c r="J34" s="4682"/>
      <c r="K34" s="4682"/>
      <c r="L34" s="4683"/>
    </row>
    <row r="35" spans="1:12" s="498" customFormat="1" ht="14.25" customHeight="1">
      <c r="A35" s="1638"/>
      <c r="B35" s="4680"/>
      <c r="C35" s="4684" t="s">
        <v>6423</v>
      </c>
      <c r="D35" s="4680" t="s">
        <v>6424</v>
      </c>
      <c r="E35" s="4685" t="s">
        <v>6280</v>
      </c>
      <c r="F35" s="4686"/>
      <c r="G35" s="4689" t="s">
        <v>1304</v>
      </c>
      <c r="H35" s="4691" t="s">
        <v>6276</v>
      </c>
      <c r="I35" s="4692"/>
      <c r="J35" s="4692"/>
      <c r="K35" s="4692"/>
      <c r="L35" s="4693"/>
    </row>
    <row r="36" spans="1:12" s="498" customFormat="1" ht="23.25" customHeight="1">
      <c r="A36" s="4684" t="s">
        <v>1000</v>
      </c>
      <c r="B36" s="4680"/>
      <c r="C36" s="4684"/>
      <c r="D36" s="4680"/>
      <c r="E36" s="4687"/>
      <c r="F36" s="4688"/>
      <c r="G36" s="4690"/>
      <c r="H36" s="4694" t="s">
        <v>6278</v>
      </c>
      <c r="I36" s="4695"/>
      <c r="J36" s="4698" t="s">
        <v>1304</v>
      </c>
      <c r="K36" s="4695" t="s">
        <v>6279</v>
      </c>
      <c r="L36" s="4700"/>
    </row>
    <row r="37" spans="1:12" s="498" customFormat="1" ht="23.25" customHeight="1">
      <c r="A37" s="4684"/>
      <c r="B37" s="4680"/>
      <c r="C37" s="4684"/>
      <c r="D37" s="4680"/>
      <c r="E37" s="4687"/>
      <c r="F37" s="4688"/>
      <c r="G37" s="4690"/>
      <c r="H37" s="4694"/>
      <c r="I37" s="4695"/>
      <c r="J37" s="4699"/>
      <c r="K37" s="4695"/>
      <c r="L37" s="4700"/>
    </row>
    <row r="38" spans="1:12" s="498" customFormat="1" ht="23.25" customHeight="1">
      <c r="A38" s="4680"/>
      <c r="B38" s="4680"/>
      <c r="C38" s="4680"/>
      <c r="D38" s="4680"/>
      <c r="E38" s="4687"/>
      <c r="F38" s="4688"/>
      <c r="G38" s="4690"/>
      <c r="H38" s="4696"/>
      <c r="I38" s="4697"/>
      <c r="J38" s="4699"/>
      <c r="K38" s="4697"/>
      <c r="L38" s="4701"/>
    </row>
    <row r="39" spans="1:12" s="498" customFormat="1" ht="13.15" customHeight="1">
      <c r="A39" s="1642">
        <f>'Part VI-Revenues &amp; Expenses'!B18</f>
        <v>50</v>
      </c>
      <c r="B39" s="1643">
        <f>'Part VI-Revenues &amp; Expenses'!E18</f>
        <v>4</v>
      </c>
      <c r="C39" s="1644" t="str">
        <f>_xlfn.CONCAT('Part VI-Revenues &amp; Expenses'!C18," / ",'Part VI-Revenues &amp; Expenses'!D18)</f>
        <v>1 / 1</v>
      </c>
      <c r="D39" s="1643">
        <f>'Part VI-Revenues &amp; Expenses'!F18</f>
        <v>668</v>
      </c>
      <c r="E39" s="4677">
        <f>'Part VI-Revenues &amp; Expenses'!H18</f>
        <v>513</v>
      </c>
      <c r="F39" s="4678"/>
      <c r="G39" s="1645"/>
      <c r="H39" s="4705"/>
      <c r="I39" s="4706"/>
      <c r="J39" s="4706"/>
      <c r="K39" s="4706"/>
      <c r="L39" s="4707"/>
    </row>
    <row r="40" spans="1:12" s="498" customFormat="1" ht="13.15" customHeight="1">
      <c r="A40" s="1646">
        <f>'Part VI-Revenues &amp; Expenses'!B19</f>
        <v>50</v>
      </c>
      <c r="B40" s="1647">
        <f>'Part VI-Revenues &amp; Expenses'!E19</f>
        <v>8</v>
      </c>
      <c r="C40" s="1648" t="str">
        <f>_xlfn.CONCAT('Part VI-Revenues &amp; Expenses'!C19," / ",'Part VI-Revenues &amp; Expenses'!D19)</f>
        <v>2 / 2</v>
      </c>
      <c r="D40" s="1647">
        <f>'Part VI-Revenues &amp; Expenses'!F19</f>
        <v>930</v>
      </c>
      <c r="E40" s="4675">
        <f>'Part VI-Revenues &amp; Expenses'!H19</f>
        <v>616</v>
      </c>
      <c r="F40" s="4676"/>
      <c r="G40" s="1645"/>
      <c r="H40" s="4702"/>
      <c r="I40" s="4703"/>
      <c r="J40" s="4703"/>
      <c r="K40" s="4703"/>
      <c r="L40" s="4704"/>
    </row>
    <row r="41" spans="1:12" s="498" customFormat="1" ht="13.15" customHeight="1">
      <c r="A41" s="1646">
        <f>'Part VI-Revenues &amp; Expenses'!B20</f>
        <v>50</v>
      </c>
      <c r="B41" s="1647">
        <f>'Part VI-Revenues &amp; Expenses'!E20</f>
        <v>4</v>
      </c>
      <c r="C41" s="1648" t="str">
        <f>_xlfn.CONCAT('Part VI-Revenues &amp; Expenses'!C20," / ",'Part VI-Revenues &amp; Expenses'!D20)</f>
        <v>3 / 2</v>
      </c>
      <c r="D41" s="1647">
        <f>'Part VI-Revenues &amp; Expenses'!F20</f>
        <v>1106</v>
      </c>
      <c r="E41" s="4675">
        <f>'Part VI-Revenues &amp; Expenses'!H20</f>
        <v>711</v>
      </c>
      <c r="F41" s="4676"/>
      <c r="G41" s="1645"/>
      <c r="H41" s="4702"/>
      <c r="I41" s="4703"/>
      <c r="J41" s="4703"/>
      <c r="K41" s="4703"/>
      <c r="L41" s="4704"/>
    </row>
    <row r="42" spans="1:12" s="498" customFormat="1" ht="13.15" customHeight="1">
      <c r="A42" s="1646">
        <f>'Part VI-Revenues &amp; Expenses'!B21</f>
        <v>60</v>
      </c>
      <c r="B42" s="1647">
        <f>'Part VI-Revenues &amp; Expenses'!E21</f>
        <v>10</v>
      </c>
      <c r="C42" s="1648" t="str">
        <f>_xlfn.CONCAT('Part VI-Revenues &amp; Expenses'!C21," / ",'Part VI-Revenues &amp; Expenses'!D21)</f>
        <v>1 / 1</v>
      </c>
      <c r="D42" s="1647">
        <f>'Part VI-Revenues &amp; Expenses'!F21</f>
        <v>668</v>
      </c>
      <c r="E42" s="4675">
        <f>'Part VI-Revenues &amp; Expenses'!H21</f>
        <v>575</v>
      </c>
      <c r="F42" s="4676"/>
      <c r="G42" s="1645"/>
      <c r="H42" s="4702"/>
      <c r="I42" s="4703"/>
      <c r="J42" s="4703"/>
      <c r="K42" s="4703"/>
      <c r="L42" s="4704"/>
    </row>
    <row r="43" spans="1:12" s="498" customFormat="1" ht="13.15" customHeight="1">
      <c r="A43" s="1646">
        <f>'Part VI-Revenues &amp; Expenses'!B22</f>
        <v>60</v>
      </c>
      <c r="B43" s="1647">
        <f>'Part VI-Revenues &amp; Expenses'!E22</f>
        <v>28</v>
      </c>
      <c r="C43" s="1648" t="str">
        <f>_xlfn.CONCAT('Part VI-Revenues &amp; Expenses'!C22," / ",'Part VI-Revenues &amp; Expenses'!D22)</f>
        <v>2 / 2</v>
      </c>
      <c r="D43" s="1647">
        <f>'Part VI-Revenues &amp; Expenses'!F22</f>
        <v>930</v>
      </c>
      <c r="E43" s="4675">
        <f>'Part VI-Revenues &amp; Expenses'!H22</f>
        <v>696</v>
      </c>
      <c r="F43" s="4676"/>
      <c r="G43" s="1645"/>
      <c r="H43" s="4702"/>
      <c r="I43" s="4703"/>
      <c r="J43" s="4703"/>
      <c r="K43" s="4703"/>
      <c r="L43" s="4704"/>
    </row>
    <row r="44" spans="1:12" s="498" customFormat="1" ht="13.15" customHeight="1">
      <c r="A44" s="1646">
        <f>'Part VI-Revenues &amp; Expenses'!B23</f>
        <v>60</v>
      </c>
      <c r="B44" s="1647">
        <f>'Part VI-Revenues &amp; Expenses'!E23</f>
        <v>10</v>
      </c>
      <c r="C44" s="1648" t="str">
        <f>_xlfn.CONCAT('Part VI-Revenues &amp; Expenses'!C23," / ",'Part VI-Revenues &amp; Expenses'!D23)</f>
        <v>3 / 2</v>
      </c>
      <c r="D44" s="1647">
        <f>'Part VI-Revenues &amp; Expenses'!F23</f>
        <v>1106</v>
      </c>
      <c r="E44" s="4675">
        <f>'Part VI-Revenues &amp; Expenses'!H23</f>
        <v>814</v>
      </c>
      <c r="F44" s="4676"/>
      <c r="G44" s="1645"/>
      <c r="H44" s="4702"/>
      <c r="I44" s="4703"/>
      <c r="J44" s="4703"/>
      <c r="K44" s="4703"/>
      <c r="L44" s="4704"/>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5">
        <f>'Part VI-Revenues &amp; Expenses'!H24</f>
        <v>0</v>
      </c>
      <c r="F45" s="4676"/>
      <c r="G45" s="1645"/>
      <c r="H45" s="4702"/>
      <c r="I45" s="4703"/>
      <c r="J45" s="4703"/>
      <c r="K45" s="4703"/>
      <c r="L45" s="4704"/>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5">
        <f>'Part VI-Revenues &amp; Expenses'!H25</f>
        <v>0</v>
      </c>
      <c r="F46" s="4676"/>
      <c r="G46" s="1645"/>
      <c r="H46" s="4702"/>
      <c r="I46" s="4703"/>
      <c r="J46" s="4703"/>
      <c r="K46" s="4703"/>
      <c r="L46" s="4704"/>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5">
        <f>'Part VI-Revenues &amp; Expenses'!H26</f>
        <v>0</v>
      </c>
      <c r="F47" s="4676"/>
      <c r="G47" s="1645"/>
      <c r="H47" s="4702"/>
      <c r="I47" s="4703"/>
      <c r="J47" s="4703"/>
      <c r="K47" s="4703"/>
      <c r="L47" s="4704"/>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5">
        <f>'Part VI-Revenues &amp; Expenses'!H27</f>
        <v>0</v>
      </c>
      <c r="F48" s="4676"/>
      <c r="G48" s="1645"/>
      <c r="H48" s="4702"/>
      <c r="I48" s="4703"/>
      <c r="J48" s="4703"/>
      <c r="K48" s="4703"/>
      <c r="L48" s="4704"/>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5">
        <f>'Part VI-Revenues &amp; Expenses'!H28</f>
        <v>0</v>
      </c>
      <c r="F49" s="4676"/>
      <c r="G49" s="1645"/>
      <c r="H49" s="4702"/>
      <c r="I49" s="4703"/>
      <c r="J49" s="4703"/>
      <c r="K49" s="4703"/>
      <c r="L49" s="4704"/>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5">
        <f>'Part VI-Revenues &amp; Expenses'!H29</f>
        <v>0</v>
      </c>
      <c r="F50" s="4676"/>
      <c r="G50" s="1645"/>
      <c r="H50" s="4702"/>
      <c r="I50" s="4703"/>
      <c r="J50" s="4703"/>
      <c r="K50" s="4703"/>
      <c r="L50" s="4704"/>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5">
        <f>'Part VI-Revenues &amp; Expenses'!H30</f>
        <v>0</v>
      </c>
      <c r="F51" s="4676"/>
      <c r="G51" s="1645"/>
      <c r="H51" s="4702"/>
      <c r="I51" s="4703"/>
      <c r="J51" s="4703"/>
      <c r="K51" s="4703"/>
      <c r="L51" s="4704"/>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5">
        <f>'Part VI-Revenues &amp; Expenses'!H31</f>
        <v>0</v>
      </c>
      <c r="F52" s="4676"/>
      <c r="G52" s="1645"/>
      <c r="H52" s="4702"/>
      <c r="I52" s="4703"/>
      <c r="J52" s="4703"/>
      <c r="K52" s="4703"/>
      <c r="L52" s="4704"/>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5">
        <f>'Part VI-Revenues &amp; Expenses'!H32</f>
        <v>0</v>
      </c>
      <c r="F53" s="4676"/>
      <c r="G53" s="1645"/>
      <c r="H53" s="4702"/>
      <c r="I53" s="4703"/>
      <c r="J53" s="4703"/>
      <c r="K53" s="4703"/>
      <c r="L53" s="4704"/>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5">
        <f>'Part VI-Revenues &amp; Expenses'!H33</f>
        <v>0</v>
      </c>
      <c r="F54" s="4676"/>
      <c r="G54" s="1645"/>
      <c r="H54" s="4702"/>
      <c r="I54" s="4703"/>
      <c r="J54" s="4703"/>
      <c r="K54" s="4703"/>
      <c r="L54" s="4704"/>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5">
        <f>'Part VI-Revenues &amp; Expenses'!H34</f>
        <v>0</v>
      </c>
      <c r="F55" s="4676"/>
      <c r="G55" s="1645"/>
      <c r="H55" s="4702"/>
      <c r="I55" s="4703"/>
      <c r="J55" s="4703"/>
      <c r="K55" s="4703"/>
      <c r="L55" s="4704"/>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5">
        <f>'Part VI-Revenues &amp; Expenses'!H35</f>
        <v>0</v>
      </c>
      <c r="F56" s="4676"/>
      <c r="G56" s="1645"/>
      <c r="H56" s="4702"/>
      <c r="I56" s="4703"/>
      <c r="J56" s="4703"/>
      <c r="K56" s="4703"/>
      <c r="L56" s="4704"/>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5">
        <f>'Part VI-Revenues &amp; Expenses'!H36</f>
        <v>0</v>
      </c>
      <c r="F57" s="4676"/>
      <c r="G57" s="1645"/>
      <c r="H57" s="4702"/>
      <c r="I57" s="4703"/>
      <c r="J57" s="4703"/>
      <c r="K57" s="4703"/>
      <c r="L57" s="4704"/>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5">
        <f>'Part VI-Revenues &amp; Expenses'!H37</f>
        <v>0</v>
      </c>
      <c r="F58" s="4676"/>
      <c r="G58" s="1645"/>
      <c r="H58" s="4702"/>
      <c r="I58" s="4703"/>
      <c r="J58" s="4703"/>
      <c r="K58" s="4703"/>
      <c r="L58" s="4704"/>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5">
        <f>'Part VI-Revenues &amp; Expenses'!H38</f>
        <v>0</v>
      </c>
      <c r="F59" s="4676"/>
      <c r="G59" s="1645"/>
      <c r="H59" s="4702"/>
      <c r="I59" s="4703"/>
      <c r="J59" s="4703"/>
      <c r="K59" s="4703"/>
      <c r="L59" s="4704"/>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5">
        <f>'Part VI-Revenues &amp; Expenses'!H39</f>
        <v>0</v>
      </c>
      <c r="F60" s="4676"/>
      <c r="G60" s="1645"/>
      <c r="H60" s="4702"/>
      <c r="I60" s="4703"/>
      <c r="J60" s="4703"/>
      <c r="K60" s="4703"/>
      <c r="L60" s="4704"/>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5">
        <f>'Part VI-Revenues &amp; Expenses'!H40</f>
        <v>0</v>
      </c>
      <c r="F61" s="4676"/>
      <c r="G61" s="1645"/>
      <c r="H61" s="4702"/>
      <c r="I61" s="4703"/>
      <c r="J61" s="4703"/>
      <c r="K61" s="4703"/>
      <c r="L61" s="4704"/>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5">
        <f>'Part VI-Revenues &amp; Expenses'!H41</f>
        <v>0</v>
      </c>
      <c r="F62" s="4676"/>
      <c r="G62" s="1645"/>
      <c r="H62" s="4702"/>
      <c r="I62" s="4703"/>
      <c r="J62" s="4703"/>
      <c r="K62" s="4703"/>
      <c r="L62" s="4704"/>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5">
        <f>'Part VI-Revenues &amp; Expenses'!H42</f>
        <v>0</v>
      </c>
      <c r="F63" s="4676"/>
      <c r="G63" s="1645"/>
      <c r="H63" s="4702"/>
      <c r="I63" s="4703"/>
      <c r="J63" s="4703"/>
      <c r="K63" s="4703"/>
      <c r="L63" s="4704"/>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5">
        <f>'Part VI-Revenues &amp; Expenses'!H43</f>
        <v>0</v>
      </c>
      <c r="F64" s="4676"/>
      <c r="G64" s="1645"/>
      <c r="H64" s="4702"/>
      <c r="I64" s="4703"/>
      <c r="J64" s="4703"/>
      <c r="K64" s="4703"/>
      <c r="L64" s="4704"/>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5">
        <f>'Part VI-Revenues &amp; Expenses'!H44</f>
        <v>0</v>
      </c>
      <c r="F65" s="4676"/>
      <c r="G65" s="1645"/>
      <c r="H65" s="4702"/>
      <c r="I65" s="4703"/>
      <c r="J65" s="4703"/>
      <c r="K65" s="4703"/>
      <c r="L65" s="4704"/>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5">
        <f>'Part VI-Revenues &amp; Expenses'!H45</f>
        <v>0</v>
      </c>
      <c r="F66" s="4676"/>
      <c r="G66" s="1645"/>
      <c r="H66" s="4702"/>
      <c r="I66" s="4703"/>
      <c r="J66" s="4703"/>
      <c r="K66" s="4703"/>
      <c r="L66" s="4704"/>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5">
        <f>'Part VI-Revenues &amp; Expenses'!H46</f>
        <v>0</v>
      </c>
      <c r="F67" s="4676"/>
      <c r="G67" s="1645"/>
      <c r="H67" s="4702"/>
      <c r="I67" s="4703"/>
      <c r="J67" s="4703"/>
      <c r="K67" s="4703"/>
      <c r="L67" s="4704"/>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5">
        <f>'Part VI-Revenues &amp; Expenses'!H47</f>
        <v>0</v>
      </c>
      <c r="F68" s="4676"/>
      <c r="G68" s="1645"/>
      <c r="H68" s="4702"/>
      <c r="I68" s="4703"/>
      <c r="J68" s="4703"/>
      <c r="K68" s="4703"/>
      <c r="L68" s="4704"/>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3">
        <f>'Part VI-Revenues &amp; Expenses'!H48</f>
        <v>0</v>
      </c>
      <c r="F69" s="4674"/>
      <c r="G69" s="1652"/>
      <c r="H69" s="4708"/>
      <c r="I69" s="4709"/>
      <c r="J69" s="4709"/>
      <c r="K69" s="4709"/>
      <c r="L69" s="471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6" t="s">
        <v>3632</v>
      </c>
      <c r="C1" s="4726"/>
      <c r="D1" s="4726"/>
      <c r="E1" s="4726"/>
      <c r="F1" s="4726"/>
      <c r="G1" s="4726"/>
      <c r="H1" s="4726"/>
      <c r="I1" s="4726"/>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7" t="s">
        <v>3009</v>
      </c>
      <c r="C4" s="4727"/>
      <c r="D4" s="4727"/>
      <c r="E4" s="4733" t="s">
        <v>3010</v>
      </c>
      <c r="F4" s="4735"/>
      <c r="G4" s="4733" t="s">
        <v>587</v>
      </c>
      <c r="H4" s="4734"/>
      <c r="I4" s="4735"/>
      <c r="J4" s="1107" t="s">
        <v>2858</v>
      </c>
      <c r="K4" s="1107"/>
      <c r="L4" s="1115"/>
      <c r="M4" s="1115"/>
    </row>
    <row r="5" spans="2:13">
      <c r="B5" s="4728" t="str">
        <f>'Closing term sheet'!C8</f>
        <v>HH Family I, LP</v>
      </c>
      <c r="C5" s="4729"/>
      <c r="D5" s="4729"/>
      <c r="E5" s="4739"/>
      <c r="F5" s="4740"/>
      <c r="G5" s="4736" t="str">
        <f>'Closing term sheet'!C28</f>
        <v>Hunters Haven</v>
      </c>
      <c r="H5" s="4737"/>
      <c r="I5" s="4738"/>
      <c r="K5" s="699"/>
    </row>
    <row r="6" spans="2:13" ht="4.5" customHeight="1">
      <c r="D6" s="1116"/>
      <c r="E6" s="1116"/>
      <c r="F6" s="1116"/>
      <c r="G6" s="1116"/>
      <c r="H6" s="1116"/>
      <c r="I6" s="1116"/>
      <c r="K6" s="699"/>
    </row>
    <row r="7" spans="2:13">
      <c r="B7" s="4730" t="s">
        <v>3011</v>
      </c>
      <c r="C7" s="4730"/>
      <c r="D7" s="1117"/>
      <c r="E7" s="1117"/>
      <c r="F7" s="1117"/>
      <c r="G7" s="1117"/>
      <c r="H7" s="4731">
        <f>'Preview term'!E9</f>
        <v>0</v>
      </c>
      <c r="I7" s="4732"/>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11" t="s">
        <v>3640</v>
      </c>
      <c r="I35" s="4712"/>
    </row>
    <row r="36" spans="2:9">
      <c r="B36" s="1144" t="s">
        <v>3639</v>
      </c>
      <c r="C36" s="1142"/>
      <c r="D36" s="1142"/>
      <c r="E36" s="1117"/>
      <c r="F36" s="1340"/>
      <c r="G36" s="1145"/>
      <c r="H36" s="4711"/>
      <c r="I36" s="4712"/>
    </row>
    <row r="37" spans="2:9">
      <c r="B37" s="1144" t="s">
        <v>3637</v>
      </c>
      <c r="D37" s="1142"/>
      <c r="E37" s="1117"/>
      <c r="F37" s="1341"/>
      <c r="G37" s="1145"/>
      <c r="H37" s="4711"/>
      <c r="I37" s="4712"/>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20">
        <f>'Closing term sheet'!$C$30</f>
        <v>0</v>
      </c>
      <c r="G48" s="4721"/>
      <c r="H48" s="4721"/>
      <c r="I48" s="4722"/>
    </row>
    <row r="49" spans="2:9">
      <c r="B49" s="1133" t="s">
        <v>3026</v>
      </c>
      <c r="D49" s="1142" t="s">
        <v>3027</v>
      </c>
      <c r="E49" s="1117"/>
      <c r="F49" s="4723"/>
      <c r="G49" s="4724"/>
      <c r="H49" s="4724"/>
      <c r="I49" s="4725"/>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3" t="str">
        <f>'Part I-Project Information'!F39</f>
        <v>Flemington</v>
      </c>
      <c r="D52" s="4744"/>
      <c r="E52" s="1159" t="s">
        <v>3643</v>
      </c>
      <c r="F52" s="1119" t="s">
        <v>815</v>
      </c>
      <c r="G52" s="1159" t="s">
        <v>3644</v>
      </c>
      <c r="H52" s="1160">
        <f>'Part I-Project Information'!J39</f>
        <v>313133427</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10770000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8" t="s">
        <v>3032</v>
      </c>
      <c r="C61" s="4749"/>
      <c r="D61" s="4749"/>
      <c r="E61" s="4749"/>
      <c r="F61" s="4749"/>
      <c r="G61" s="4749"/>
      <c r="H61" s="4749"/>
      <c r="I61" s="4750"/>
    </row>
    <row r="62" spans="2:9" ht="7.5" customHeight="1">
      <c r="B62" s="4745"/>
      <c r="C62" s="4746"/>
      <c r="D62" s="4746"/>
      <c r="E62" s="1117"/>
      <c r="F62" s="1117"/>
      <c r="G62" s="1167"/>
      <c r="H62" s="1117"/>
      <c r="I62" s="1127"/>
    </row>
    <row r="63" spans="2:9">
      <c r="B63" s="1168" t="s">
        <v>3034</v>
      </c>
      <c r="C63" s="1117"/>
      <c r="D63" s="1162">
        <v>4</v>
      </c>
      <c r="F63" s="1117"/>
      <c r="G63" s="4730" t="s">
        <v>3033</v>
      </c>
      <c r="H63" s="4730"/>
      <c r="I63" s="4747"/>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8" t="s">
        <v>3045</v>
      </c>
      <c r="C81" s="4749"/>
      <c r="D81" s="4749"/>
      <c r="E81" s="4749"/>
      <c r="F81" s="4749"/>
      <c r="G81" s="4749"/>
      <c r="H81" s="4749"/>
      <c r="I81" s="4750"/>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16">
        <f>'Closing term sheet'!D63</f>
        <v>10770000</v>
      </c>
      <c r="G84" s="4716"/>
      <c r="H84" s="1117"/>
      <c r="I84" s="1127"/>
    </row>
    <row r="85" spans="2:9">
      <c r="B85" s="1125"/>
      <c r="C85" s="739" t="s">
        <v>3048</v>
      </c>
      <c r="D85" s="1117"/>
      <c r="E85" s="1117"/>
      <c r="F85" s="4742">
        <f>'Part III-Sources of Funds'!I47+'Part III-Sources of Funds'!L47</f>
        <v>146141.99999530875</v>
      </c>
      <c r="G85" s="4742"/>
      <c r="H85" s="1117"/>
      <c r="I85" s="1127"/>
    </row>
    <row r="86" spans="2:9">
      <c r="B86" s="1125"/>
      <c r="C86" s="739" t="s">
        <v>3049</v>
      </c>
      <c r="D86" s="1117"/>
      <c r="E86" s="1117"/>
      <c r="F86" s="4741"/>
      <c r="G86" s="4741"/>
      <c r="H86" s="1117"/>
      <c r="I86" s="1127"/>
    </row>
    <row r="87" spans="2:9">
      <c r="B87" s="1125"/>
      <c r="C87" s="1142" t="s">
        <v>3050</v>
      </c>
      <c r="D87" s="1117"/>
      <c r="E87" s="1117"/>
      <c r="F87" s="4742">
        <v>11000</v>
      </c>
      <c r="G87" s="4742"/>
      <c r="H87" s="1117"/>
      <c r="I87" s="1127"/>
    </row>
    <row r="88" spans="2:9">
      <c r="B88" s="1125"/>
      <c r="C88" s="739" t="s">
        <v>3051</v>
      </c>
      <c r="D88" s="1117"/>
      <c r="E88" s="1117"/>
      <c r="F88" s="4719"/>
      <c r="G88" s="4719"/>
      <c r="H88" s="1117"/>
      <c r="I88" s="1127"/>
    </row>
    <row r="89" spans="2:9">
      <c r="B89" s="1125"/>
      <c r="C89" s="719" t="s">
        <v>3052</v>
      </c>
      <c r="D89" s="1117"/>
      <c r="E89" s="1117"/>
      <c r="F89" s="4714">
        <f>SUM(F84:G88)</f>
        <v>10927141.999995308</v>
      </c>
      <c r="G89" s="4714"/>
      <c r="H89" s="1117"/>
      <c r="I89" s="1127"/>
    </row>
    <row r="90" spans="2:9">
      <c r="B90" s="1125"/>
      <c r="C90" s="1117"/>
      <c r="D90" s="1117"/>
      <c r="E90" s="1117"/>
      <c r="F90" s="4715"/>
      <c r="G90" s="4715"/>
      <c r="H90" s="1117"/>
      <c r="I90" s="1127"/>
    </row>
    <row r="91" spans="2:9">
      <c r="B91" s="1128" t="s">
        <v>3053</v>
      </c>
      <c r="C91" s="1117"/>
      <c r="D91" s="1117"/>
      <c r="E91" s="1117"/>
      <c r="F91" s="1117"/>
      <c r="G91" s="1117"/>
      <c r="H91" s="1117"/>
      <c r="I91" s="1127"/>
    </row>
    <row r="92" spans="2:9">
      <c r="B92" s="1125"/>
      <c r="C92" s="739" t="s">
        <v>3054</v>
      </c>
      <c r="D92" s="1117"/>
      <c r="E92" s="1117"/>
      <c r="F92" s="4716"/>
      <c r="G92" s="4716"/>
      <c r="H92" s="1117"/>
      <c r="I92" s="1127"/>
    </row>
    <row r="93" spans="2:9">
      <c r="B93" s="1125"/>
      <c r="C93" s="739" t="s">
        <v>3055</v>
      </c>
      <c r="D93" s="1117"/>
      <c r="E93" s="1117"/>
      <c r="F93" s="4717"/>
      <c r="G93" s="4717"/>
      <c r="H93" s="1117"/>
      <c r="I93" s="1127"/>
    </row>
    <row r="94" spans="2:9">
      <c r="B94" s="1125"/>
      <c r="C94" s="739" t="s">
        <v>3056</v>
      </c>
      <c r="D94" s="1117"/>
      <c r="E94" s="1117"/>
      <c r="F94" s="4718" t="s">
        <v>2933</v>
      </c>
      <c r="G94" s="4713"/>
      <c r="H94" s="1117"/>
      <c r="I94" s="1127"/>
    </row>
    <row r="95" spans="2:9">
      <c r="B95" s="1125"/>
      <c r="C95" s="719" t="s">
        <v>3057</v>
      </c>
      <c r="D95" s="1117"/>
      <c r="E95" s="1117"/>
      <c r="F95" s="4714">
        <f>+SUM(F92:G94)</f>
        <v>0</v>
      </c>
      <c r="G95" s="4714"/>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16"/>
      <c r="G98" s="4716"/>
      <c r="H98" s="1117"/>
      <c r="I98" s="1127"/>
    </row>
    <row r="99" spans="2:9">
      <c r="B99" s="1125"/>
      <c r="C99" s="739" t="s">
        <v>3060</v>
      </c>
      <c r="D99" s="1117"/>
      <c r="E99" s="1117"/>
      <c r="F99" s="4717"/>
      <c r="G99" s="4717"/>
      <c r="H99" s="1117"/>
      <c r="I99" s="1127"/>
    </row>
    <row r="100" spans="2:9">
      <c r="B100" s="1125"/>
      <c r="C100" s="739" t="s">
        <v>3061</v>
      </c>
      <c r="D100" s="1117"/>
      <c r="E100" s="1117"/>
      <c r="F100" s="4719"/>
      <c r="G100" s="4719"/>
      <c r="H100" s="1117"/>
      <c r="I100" s="1127"/>
    </row>
    <row r="101" spans="2:9">
      <c r="B101" s="1125"/>
      <c r="C101" s="719" t="s">
        <v>3062</v>
      </c>
      <c r="D101" s="1117"/>
      <c r="E101" s="1117"/>
      <c r="F101" s="4714">
        <f>+SUM(F98:G100)</f>
        <v>0</v>
      </c>
      <c r="G101" s="4714"/>
      <c r="H101" s="1117"/>
      <c r="I101" s="1127"/>
    </row>
    <row r="102" spans="2:9">
      <c r="B102" s="1125"/>
      <c r="C102" s="1117"/>
      <c r="D102" s="1117"/>
      <c r="E102" s="1117"/>
      <c r="F102" s="1117"/>
      <c r="G102" s="1117"/>
      <c r="H102" s="1117"/>
      <c r="I102" s="1127"/>
    </row>
    <row r="103" spans="2:9">
      <c r="B103" s="1168" t="s">
        <v>3063</v>
      </c>
      <c r="C103" s="739"/>
      <c r="D103" s="1117"/>
      <c r="E103" s="1117"/>
      <c r="F103" s="4713">
        <f>'Part III-Sources of Funds'!I48+'Part III-Sources of Funds'!I49</f>
        <v>0</v>
      </c>
      <c r="G103" s="4713"/>
      <c r="H103" s="1117"/>
      <c r="I103" s="1127"/>
    </row>
    <row r="104" spans="2:9">
      <c r="B104" s="1125"/>
      <c r="C104" s="1117"/>
      <c r="D104" s="1117"/>
      <c r="E104" s="1117"/>
      <c r="F104" s="1117"/>
      <c r="G104" s="1117"/>
      <c r="H104" s="1117"/>
      <c r="I104" s="1173" t="s">
        <v>3064</v>
      </c>
    </row>
    <row r="105" spans="2:9">
      <c r="B105" s="1128" t="s">
        <v>3065</v>
      </c>
      <c r="C105" s="1117"/>
      <c r="D105" s="1117"/>
      <c r="E105" s="1117"/>
      <c r="F105" s="4713">
        <f>+F103+F101+F95+F89</f>
        <v>10927141.999995308</v>
      </c>
      <c r="G105" s="4713"/>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299" zoomScale="118" zoomScaleNormal="118" workbookViewId="0">
      <selection activeCell="B1299" sqref="A1:XFD1048576"/>
    </sheetView>
  </sheetViews>
  <sheetFormatPr defaultColWidth="9.140625" defaultRowHeight="12.75"/>
  <cols>
    <col min="1" max="1" width="9.7109375" style="1924" bestFit="1" customWidth="1"/>
    <col min="2" max="3" width="11.7109375" style="1924" bestFit="1" customWidth="1"/>
    <col min="4" max="6" width="11"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Hunters Haven</v>
      </c>
    </row>
    <row r="3" spans="1:6" s="1852" customFormat="1" ht="15" customHeight="1">
      <c r="A3" s="1853" t="str">
        <f>CONCATENATE('Part I-Project Information'!F39,", ", 'Part I-Project Information'!J40," County")</f>
        <v>Flemington, Liberty County</v>
      </c>
    </row>
    <row r="4" spans="1:6" s="1852" customFormat="1" ht="12" customHeight="1"/>
    <row r="5" spans="1:6" s="1852" customFormat="1" ht="12.75" customHeight="1">
      <c r="A5" s="1854" t="str">
        <f>'Project Narrative'!A5</f>
        <v>Talon Development LLC will develop a market quality family product  in the city of Flemington to provide needed quality affordable housing to the area. The family multifamily complex will consist of 72 units (16-one bedroom, 40-two bedroom, and 16-three bedrooom units). All units are planned to be constructed in a singular building that includes a community room and other site amenities.  The project will be designed to meet a NGBS Green Certification, and will utilize aesthetics that are reflective of today's standards by utilizing brick and fiber cement siding designed to last.
As mentioned above, common area amenities will include a community room with warming kitchen, community exterior gathering area, on-site laundry room, covered pavillion with grills, and a playground.  Resident enrichment services, well thought out site design/green space, and on-going social planning by management will also enhance the community experience for our tenants.  
Located in a redevelopment PUD known as Flemington Village, the project’s greatest asset is it’s proximity to parks, groceries, transit, resturants, and the downtown Hinesville area.</v>
      </c>
      <c r="B5" s="1855" t="s">
        <v>4081</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6282</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7083</v>
      </c>
      <c r="L30" s="1857"/>
      <c r="P30" s="1860" t="s">
        <v>3428</v>
      </c>
      <c r="Z30" s="1857">
        <v>6</v>
      </c>
    </row>
    <row r="31" spans="1:26" s="1856" customFormat="1" ht="12" customHeight="1">
      <c r="B31" s="1861" t="str">
        <f>'Part I-Project Information'!B7</f>
        <v>2021 Core Application</v>
      </c>
      <c r="C31" s="1862"/>
      <c r="D31" s="1862"/>
      <c r="E31" s="1818"/>
      <c r="F31" s="1857"/>
      <c r="G31" s="1859" t="s">
        <v>7084</v>
      </c>
      <c r="H31" s="1857"/>
      <c r="I31" s="1857"/>
      <c r="J31" s="1857"/>
      <c r="O31" s="1863" t="str">
        <f>'Part I-Project Information'!O7</f>
        <v>2021-041</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3401</v>
      </c>
      <c r="I34" s="1866">
        <f>'Part IV-A-Uses of Funds'!$J$197</f>
        <v>1000000</v>
      </c>
      <c r="J34" s="1866"/>
      <c r="L34" s="1856" t="s">
        <v>3402</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3345</v>
      </c>
      <c r="J36" s="1856" t="s">
        <v>7085</v>
      </c>
      <c r="L36" s="1857"/>
      <c r="O36" s="1863" t="str">
        <f>'Part I-Project Information'!O12</f>
        <v>2021-040</v>
      </c>
      <c r="P36" s="1863"/>
      <c r="Z36" s="1857">
        <v>12</v>
      </c>
    </row>
    <row r="37" spans="1:26" s="1856" customFormat="1" ht="12.75" customHeight="1">
      <c r="A37" s="1857"/>
      <c r="B37" s="1865"/>
      <c r="C37" s="1865"/>
      <c r="D37" s="1865"/>
      <c r="E37" s="1865"/>
      <c r="H37" s="1857"/>
      <c r="J37" s="1859" t="s">
        <v>7022</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4287</v>
      </c>
      <c r="C39" s="1865"/>
      <c r="D39" s="1865"/>
      <c r="E39" s="1865"/>
      <c r="F39" s="1871" t="str">
        <f>'Part I-Project Information'!F15</f>
        <v>No</v>
      </c>
      <c r="G39" s="1858" t="s">
        <v>4288</v>
      </c>
      <c r="N39" s="1869" t="str">
        <f>'Part I-Project Information'!N15</f>
        <v>&lt;&lt;Select previous Application Type&gt;&gt;</v>
      </c>
      <c r="O39" s="1869"/>
      <c r="P39" s="1869"/>
      <c r="Z39" s="1857">
        <v>15</v>
      </c>
    </row>
    <row r="40" spans="1:26" s="1856" customFormat="1" ht="12.75" customHeight="1">
      <c r="A40" s="1857"/>
      <c r="B40" s="1856" t="s">
        <v>4281</v>
      </c>
      <c r="F40" s="1872">
        <f>'Part I-Project Information'!F16</f>
        <v>0</v>
      </c>
      <c r="G40" s="1872"/>
      <c r="H40" s="1872"/>
      <c r="I40" s="1872"/>
      <c r="J40" s="1856" t="s">
        <v>4119</v>
      </c>
      <c r="L40" s="1863">
        <f>'Part I-Project Information'!L16</f>
        <v>0</v>
      </c>
      <c r="M40" s="1863"/>
      <c r="N40" s="1856" t="s">
        <v>4118</v>
      </c>
      <c r="P40" s="1873">
        <f>'Part I-Project Information'!P16</f>
        <v>0</v>
      </c>
      <c r="Z40" s="1857">
        <v>16</v>
      </c>
    </row>
    <row r="41" spans="1:26" s="1856" customFormat="1" ht="12.75" customHeight="1">
      <c r="A41" s="1857"/>
      <c r="B41" s="1856" t="s">
        <v>3400</v>
      </c>
      <c r="F41" s="1871">
        <f>'Part I-Project Information'!F17</f>
        <v>0</v>
      </c>
      <c r="G41" s="1856" t="s">
        <v>4076</v>
      </c>
      <c r="H41" s="1857"/>
      <c r="I41" s="1864"/>
      <c r="J41" s="1858"/>
      <c r="N41" s="1869">
        <f>'Part I-Project Information'!N17</f>
        <v>0</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Talon Development Company  LLC</v>
      </c>
      <c r="G45" s="1863"/>
      <c r="H45" s="1863"/>
      <c r="I45" s="1856" t="s">
        <v>1716</v>
      </c>
      <c r="J45" s="1863" t="str">
        <f>'Part I-Project Information'!J21</f>
        <v>Devin Blankenship</v>
      </c>
      <c r="K45" s="1863"/>
      <c r="L45" s="1863"/>
      <c r="M45" s="1858" t="s">
        <v>1890</v>
      </c>
      <c r="N45" s="1863" t="str">
        <f>'Part I-Project Information'!N21</f>
        <v>Partner</v>
      </c>
      <c r="O45" s="1863"/>
      <c r="P45" s="1863"/>
      <c r="Z45" s="1857">
        <v>21</v>
      </c>
    </row>
    <row r="46" spans="1:26" s="1856" customFormat="1" ht="13.35" customHeight="1">
      <c r="B46" s="1858" t="s">
        <v>1891</v>
      </c>
      <c r="F46" s="1863" t="str">
        <f>'Part I-Project Information'!F22</f>
        <v>1211 Pebble Creek RD SE</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Marietta</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300675433</v>
      </c>
      <c r="G48" s="1877"/>
      <c r="H48" s="1877"/>
      <c r="I48" s="1858" t="s">
        <v>1643</v>
      </c>
      <c r="J48" s="1878">
        <f>'Part I-Project Information'!J24</f>
        <v>7707434124</v>
      </c>
      <c r="K48" s="1878"/>
      <c r="L48" s="1857" t="s">
        <v>1642</v>
      </c>
      <c r="M48" s="1879">
        <f>'Part I-Project Information'!M24</f>
        <v>2</v>
      </c>
      <c r="N48" s="1858" t="s">
        <v>1644</v>
      </c>
      <c r="O48" s="1878">
        <f>'Part I-Project Information'!O24</f>
        <v>6785928103</v>
      </c>
      <c r="P48" s="1878"/>
      <c r="Z48" s="1857">
        <v>24</v>
      </c>
    </row>
    <row r="49" spans="1:26" s="1856" customFormat="1" ht="13.35" customHeight="1">
      <c r="B49" s="1858" t="s">
        <v>1894</v>
      </c>
      <c r="F49" s="1863" t="str">
        <f>'Part I-Project Information'!F25</f>
        <v>Devin@TalonDevelopmentLLC.com</v>
      </c>
      <c r="G49" s="1863"/>
      <c r="H49" s="1863"/>
      <c r="I49" s="1863"/>
      <c r="J49" s="1863"/>
      <c r="K49" s="1863"/>
      <c r="N49" s="1858" t="s">
        <v>1889</v>
      </c>
      <c r="O49" s="1878">
        <f>'Part I-Project Information'!O25</f>
        <v>6785928103</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Talon Development Company LLC</v>
      </c>
      <c r="G51" s="1863"/>
      <c r="H51" s="1863"/>
      <c r="I51" s="1856" t="s">
        <v>1716</v>
      </c>
      <c r="J51" s="1863" t="str">
        <f>'Part I-Project Information'!J27</f>
        <v>Kenneth Blankenship</v>
      </c>
      <c r="K51" s="1863"/>
      <c r="L51" s="1863"/>
      <c r="M51" s="1858" t="s">
        <v>1890</v>
      </c>
      <c r="N51" s="1863" t="str">
        <f>'Part I-Project Information'!N27</f>
        <v>Partner</v>
      </c>
      <c r="O51" s="1863"/>
      <c r="P51" s="1863"/>
      <c r="Z51" s="1857">
        <v>27</v>
      </c>
    </row>
    <row r="52" spans="1:26" s="1856" customFormat="1" ht="13.35" customHeight="1">
      <c r="B52" s="1858" t="s">
        <v>1891</v>
      </c>
      <c r="F52" s="1863" t="str">
        <f>'Part I-Project Information'!F28</f>
        <v>1211 Pebble Creek RD SE</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Marietta</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300675433</v>
      </c>
      <c r="G54" s="1877"/>
      <c r="H54" s="1877"/>
      <c r="I54" s="1858" t="s">
        <v>1643</v>
      </c>
      <c r="J54" s="1878">
        <f>'Part I-Project Information'!J30</f>
        <v>7707434124</v>
      </c>
      <c r="K54" s="1878"/>
      <c r="L54" s="1857" t="s">
        <v>1642</v>
      </c>
      <c r="M54" s="1879">
        <f>'Part I-Project Information'!M30</f>
        <v>3</v>
      </c>
      <c r="N54" s="1858" t="s">
        <v>1644</v>
      </c>
      <c r="O54" s="1878">
        <f>'Part I-Project Information'!O30</f>
        <v>7708619049</v>
      </c>
      <c r="P54" s="1878"/>
      <c r="Z54" s="1857">
        <v>30</v>
      </c>
    </row>
    <row r="55" spans="1:26" s="1856" customFormat="1" ht="13.35" customHeight="1">
      <c r="B55" s="1858" t="s">
        <v>1894</v>
      </c>
      <c r="F55" s="1863" t="str">
        <f>'Part I-Project Information'!F31</f>
        <v>Ken@TalonDevelopmentLLC.com</v>
      </c>
      <c r="G55" s="1863"/>
      <c r="H55" s="1863"/>
      <c r="I55" s="1863"/>
      <c r="J55" s="1863"/>
      <c r="K55" s="1863"/>
      <c r="N55" s="1858" t="s">
        <v>1889</v>
      </c>
      <c r="O55" s="1878">
        <f>'Part I-Project Information'!O31</f>
        <v>7708619049</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Hunters Haven</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f>'Part I-Project Information'!F36</f>
        <v>0</v>
      </c>
      <c r="G60" s="1872"/>
      <c r="H60" s="1872"/>
      <c r="I60" s="1872"/>
      <c r="J60" s="1872"/>
      <c r="K60" s="1872"/>
      <c r="L60" s="1856" t="s">
        <v>3320</v>
      </c>
      <c r="O60" s="1863">
        <f>'Part I-Project Information'!O36</f>
        <v>0</v>
      </c>
      <c r="P60" s="1863"/>
      <c r="Z60" s="1857">
        <v>36</v>
      </c>
    </row>
    <row r="61" spans="1:26" s="1856" customFormat="1" ht="13.35" customHeight="1">
      <c r="A61" s="1860"/>
      <c r="B61" s="1856" t="s">
        <v>7023</v>
      </c>
      <c r="D61" s="1860"/>
      <c r="F61" s="1872" t="str">
        <f>'Part I-Project Information'!F37</f>
        <v>116 Patriot Trail, Hinesville GA, 31313</v>
      </c>
      <c r="G61" s="1872"/>
      <c r="H61" s="1872"/>
      <c r="I61" s="1872"/>
      <c r="J61" s="1872"/>
      <c r="K61" s="1872"/>
      <c r="L61" s="1858" t="s">
        <v>1958</v>
      </c>
      <c r="N61" s="1879" t="str">
        <f>'Part I-Project Information'!N37</f>
        <v>No</v>
      </c>
      <c r="O61" s="1857" t="s">
        <v>3319</v>
      </c>
      <c r="P61" s="1879">
        <f>'Part I-Project Information'!P37</f>
        <v>0</v>
      </c>
      <c r="Z61" s="1857">
        <v>37</v>
      </c>
    </row>
    <row r="62" spans="1:26" s="1856" customFormat="1" ht="13.35" customHeight="1">
      <c r="A62" s="1860"/>
      <c r="B62" s="1856" t="s">
        <v>3361</v>
      </c>
      <c r="D62" s="1860"/>
      <c r="F62" s="1856" t="s">
        <v>3346</v>
      </c>
      <c r="G62" s="1881">
        <f>'Part I-Project Information'!G38</f>
        <v>31.852126999999999</v>
      </c>
      <c r="H62" s="1881"/>
      <c r="I62" s="1857" t="s">
        <v>3347</v>
      </c>
      <c r="J62" s="1881">
        <f>'Part I-Project Information'!J38</f>
        <v>-81.575609</v>
      </c>
      <c r="K62" s="1881"/>
      <c r="L62" s="1858" t="s">
        <v>2180</v>
      </c>
      <c r="O62" s="1882">
        <f>'Part I-Project Information'!O38</f>
        <v>10</v>
      </c>
      <c r="P62" s="1882"/>
      <c r="Z62" s="1868">
        <v>38</v>
      </c>
    </row>
    <row r="63" spans="1:26" s="1856" customFormat="1" ht="13.35" customHeight="1">
      <c r="A63" s="1857"/>
      <c r="B63" s="1856" t="s">
        <v>588</v>
      </c>
      <c r="F63" s="1863" t="str">
        <f>'Part I-Project Information'!F39</f>
        <v>Flemington</v>
      </c>
      <c r="G63" s="1863"/>
      <c r="H63" s="1863"/>
      <c r="I63" s="1883" t="s">
        <v>7086</v>
      </c>
      <c r="J63" s="1877">
        <f>'Part I-Project Information'!J39</f>
        <v>313133427</v>
      </c>
      <c r="K63" s="1877"/>
      <c r="L63" s="1856" t="str">
        <f>IF(AND(NOT(F59=""),NOT(F63="Select from list"),J63=""),"Enter Zip!","")</f>
        <v/>
      </c>
      <c r="M63" s="1884" t="s">
        <v>2693</v>
      </c>
      <c r="O63" s="1885" t="str">
        <f>'Part I-Project Information'!O39</f>
        <v>103.00</v>
      </c>
      <c r="P63" s="1886"/>
      <c r="Z63" s="1857">
        <v>39</v>
      </c>
    </row>
    <row r="64" spans="1:26" s="1856" customFormat="1" ht="13.35" customHeight="1">
      <c r="A64" s="1857"/>
      <c r="B64" s="1856" t="s">
        <v>4098</v>
      </c>
      <c r="F64" s="1863" t="str">
        <f>'Part I-Project Information'!F40</f>
        <v>City Limits</v>
      </c>
      <c r="G64" s="1863"/>
      <c r="H64" s="1863"/>
      <c r="I64" s="1887" t="s">
        <v>589</v>
      </c>
      <c r="J64" s="1872" t="str">
        <f>'Part I-Project Information'!J40</f>
        <v>Liberty</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2610</v>
      </c>
      <c r="K65" s="1857" t="str">
        <f>'Part I-Project Information'!K41</f>
        <v>Urban</v>
      </c>
      <c r="M65" s="1858" t="s">
        <v>2487</v>
      </c>
      <c r="N65" s="1857" t="str">
        <f>'Part I-Project Information'!N41</f>
        <v>MSA</v>
      </c>
      <c r="O65" s="1863" t="str">
        <f>'Part I-Project Information'!O41</f>
        <v>Hinesville-Fort Stewart</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7087</v>
      </c>
      <c r="F67" s="1865" t="s">
        <v>2592</v>
      </c>
      <c r="G67" s="1865"/>
      <c r="H67" s="1856" t="s">
        <v>706</v>
      </c>
      <c r="J67" s="1856" t="s">
        <v>707</v>
      </c>
      <c r="L67" s="1890" t="s">
        <v>7088</v>
      </c>
      <c r="Z67" s="1857">
        <v>43</v>
      </c>
    </row>
    <row r="68" spans="1:26" s="1856" customFormat="1" ht="13.35" customHeight="1">
      <c r="A68" s="1857"/>
      <c r="B68" s="1856" t="s">
        <v>7024</v>
      </c>
      <c r="F68" s="1891">
        <f>'Part I-Project Information'!F44</f>
        <v>1</v>
      </c>
      <c r="G68" s="1891"/>
      <c r="H68" s="1891">
        <f>'Part I-Project Information'!H44</f>
        <v>1</v>
      </c>
      <c r="I68" s="1891"/>
      <c r="J68" s="1891">
        <f>'Part I-Project Information'!J44</f>
        <v>168</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Flemington</v>
      </c>
      <c r="G71" s="1894"/>
      <c r="H71" s="1894"/>
      <c r="I71" s="1894"/>
      <c r="J71" s="1894"/>
      <c r="K71" s="1894"/>
      <c r="L71" s="1895" t="s">
        <v>2553</v>
      </c>
      <c r="M71" s="1863" t="str">
        <f>'Part I-Project Information'!M47</f>
        <v>cityofflemington.org</v>
      </c>
      <c r="N71" s="1863"/>
      <c r="O71" s="1863"/>
      <c r="P71" s="1863"/>
      <c r="Z71" s="1868">
        <v>47</v>
      </c>
    </row>
    <row r="72" spans="1:26" s="1856" customFormat="1" ht="13.35" customHeight="1">
      <c r="A72" s="1857"/>
      <c r="B72" s="1856" t="s">
        <v>608</v>
      </c>
      <c r="F72" s="1894" t="str">
        <f>'Part I-Project Information'!F48</f>
        <v>Paul Hawkins</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156 Old Sunbury Rd</v>
      </c>
      <c r="G73" s="1894"/>
      <c r="H73" s="1894"/>
      <c r="I73" s="1894"/>
      <c r="J73" s="1894"/>
      <c r="K73" s="1894"/>
      <c r="L73" s="1858" t="s">
        <v>588</v>
      </c>
      <c r="M73" s="1894" t="str">
        <f>'Part I-Project Information'!M49</f>
        <v>Hinesville</v>
      </c>
      <c r="N73" s="1894"/>
      <c r="O73" s="1894"/>
      <c r="P73" s="1894"/>
      <c r="Z73" s="1857">
        <v>49</v>
      </c>
    </row>
    <row r="74" spans="1:26" s="1856" customFormat="1" ht="13.35" customHeight="1">
      <c r="A74" s="1857"/>
      <c r="B74" s="1858" t="s">
        <v>2128</v>
      </c>
      <c r="F74" s="1877">
        <f>'Part I-Project Information'!F50</f>
        <v>313131121</v>
      </c>
      <c r="G74" s="1877"/>
      <c r="H74" s="1857" t="s">
        <v>1892</v>
      </c>
      <c r="I74" s="1878">
        <f>'Part I-Project Information'!I50</f>
        <v>9128773223</v>
      </c>
      <c r="J74" s="1878"/>
      <c r="K74" s="1878"/>
      <c r="L74" s="1858" t="s">
        <v>1718</v>
      </c>
      <c r="M74" s="1894" t="str">
        <f>'Part I-Project Information'!M50</f>
        <v>Flemington@coastalnow.net</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7025</v>
      </c>
      <c r="K78" s="1864"/>
      <c r="M78" s="1892"/>
      <c r="N78" s="1892"/>
      <c r="O78" s="1892"/>
      <c r="P78" s="1892"/>
      <c r="Q78" s="1857"/>
      <c r="Z78" s="1857">
        <v>54</v>
      </c>
    </row>
    <row r="79" spans="1:26" s="1865" customFormat="1" ht="13.35" customHeight="1">
      <c r="B79" s="1857"/>
      <c r="C79" s="1856" t="s">
        <v>2192</v>
      </c>
      <c r="D79" s="1856"/>
      <c r="E79" s="1856"/>
      <c r="H79" s="1897">
        <f>'Part I-Project Information'!H55</f>
        <v>72</v>
      </c>
      <c r="K79" s="1858" t="s">
        <v>3312</v>
      </c>
      <c r="L79" s="1856"/>
      <c r="M79" s="1898" t="s">
        <v>3311</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Yes</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3256</v>
      </c>
      <c r="J85" s="1860" t="s">
        <v>2021</v>
      </c>
      <c r="K85" s="1865" t="s">
        <v>2198</v>
      </c>
      <c r="P85" s="1857"/>
      <c r="Q85" s="1857"/>
      <c r="R85" s="1857"/>
      <c r="Z85" s="1857">
        <v>61</v>
      </c>
    </row>
    <row r="86" spans="1:26" s="1856" customFormat="1" ht="13.35" customHeight="1">
      <c r="A86" s="1857"/>
      <c r="B86" s="1903"/>
      <c r="C86" s="1865" t="s">
        <v>2174</v>
      </c>
      <c r="H86" s="1897">
        <f>'Part I-Project Information'!H62</f>
        <v>64</v>
      </c>
      <c r="I86" s="1904">
        <f>'Part VI-Revenues &amp; Expenses'!$P$100</f>
        <v>0</v>
      </c>
      <c r="J86" s="1857"/>
      <c r="K86" s="1865" t="s">
        <v>2600</v>
      </c>
      <c r="P86" s="1897">
        <f>'Part I-Project Information'!P62</f>
        <v>58316</v>
      </c>
      <c r="Z86" s="1857">
        <v>62</v>
      </c>
    </row>
    <row r="87" spans="1:26" s="1856" customFormat="1" ht="13.35" customHeight="1">
      <c r="A87" s="1857"/>
      <c r="C87" s="1865" t="s">
        <v>242</v>
      </c>
      <c r="H87" s="1897">
        <f>'Part I-Project Information'!H63</f>
        <v>8</v>
      </c>
      <c r="J87" s="1857"/>
      <c r="K87" s="1865" t="s">
        <v>2601</v>
      </c>
      <c r="P87" s="1897">
        <f>'Part I-Project Information'!P63</f>
        <v>7268</v>
      </c>
      <c r="Z87" s="1857">
        <v>63</v>
      </c>
    </row>
    <row r="88" spans="1:26" s="1856" customFormat="1" ht="13.35" customHeight="1">
      <c r="A88" s="1857"/>
      <c r="C88" s="1865" t="s">
        <v>2297</v>
      </c>
      <c r="H88" s="1897">
        <f>'Part I-Project Information'!H64</f>
        <v>72</v>
      </c>
      <c r="J88" s="1857"/>
      <c r="K88" s="1865" t="s">
        <v>2602</v>
      </c>
      <c r="P88" s="1897">
        <f>'Part I-Project Information'!P64</f>
        <v>65584</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72</v>
      </c>
      <c r="K90" s="1865" t="s">
        <v>1369</v>
      </c>
      <c r="P90" s="1897">
        <f>'Part I-Project Information'!P66</f>
        <v>65584</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1</v>
      </c>
      <c r="I93" s="1879">
        <f>'Part I-Project Information'!I69</f>
        <v>0</v>
      </c>
      <c r="K93" s="1865" t="s">
        <v>7089</v>
      </c>
      <c r="P93" s="1879">
        <f>'Part I-Project Information'!P69</f>
        <v>4000</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69584</v>
      </c>
      <c r="Z94" s="1857">
        <v>70</v>
      </c>
    </row>
    <row r="95" spans="1:26" s="1856" customFormat="1" ht="13.35" customHeight="1">
      <c r="A95" s="1857"/>
      <c r="B95" s="1857"/>
      <c r="D95" s="1903" t="s">
        <v>1908</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121</v>
      </c>
      <c r="K97" s="1905" t="s">
        <v>6777</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7090</v>
      </c>
      <c r="D101" s="1903"/>
      <c r="E101" s="1906" t="s">
        <v>6603</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6604</v>
      </c>
      <c r="K103" s="1907" t="s">
        <v>4025</v>
      </c>
      <c r="L103" s="1908" t="s">
        <v>2698</v>
      </c>
      <c r="M103" s="1879">
        <f>'Part I-Project Information'!M79</f>
        <v>0</v>
      </c>
      <c r="N103" s="1908" t="s">
        <v>2699</v>
      </c>
      <c r="O103" s="1879">
        <f>'Part I-Project Information'!O79</f>
        <v>0</v>
      </c>
      <c r="P103" s="1858" t="s">
        <v>4024</v>
      </c>
      <c r="Z103" s="1857">
        <v>79</v>
      </c>
    </row>
    <row r="104" spans="1:26" s="1856" customFormat="1">
      <c r="A104" s="1857"/>
      <c r="B104" s="1857"/>
      <c r="D104" s="1858"/>
      <c r="E104" s="1903"/>
      <c r="J104" s="1907"/>
      <c r="K104" s="1907"/>
      <c r="L104" s="1860" t="s">
        <v>2700</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7091</v>
      </c>
      <c r="D106" s="1903"/>
      <c r="E106" s="1906" t="s">
        <v>6606</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4025</v>
      </c>
      <c r="L108" s="1908" t="s">
        <v>2698</v>
      </c>
      <c r="M108" s="1879">
        <f>'Part I-Project Information'!M84</f>
        <v>0</v>
      </c>
      <c r="N108" s="1908" t="s">
        <v>2699</v>
      </c>
      <c r="O108" s="1879">
        <f>'Part I-Project Information'!O84</f>
        <v>0</v>
      </c>
      <c r="P108" s="1858" t="s">
        <v>4024</v>
      </c>
      <c r="Z108" s="1868">
        <v>84</v>
      </c>
    </row>
    <row r="109" spans="1:26" s="1856" customFormat="1">
      <c r="A109" s="1857"/>
      <c r="B109" s="1857"/>
      <c r="D109" s="1858"/>
      <c r="E109" s="1903"/>
      <c r="J109" s="1907"/>
      <c r="K109" s="1907"/>
      <c r="L109" s="1860" t="s">
        <v>2700</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4</v>
      </c>
      <c r="K111" s="1856" t="s">
        <v>495</v>
      </c>
      <c r="N111" s="1909">
        <f>'Part I-Project Information'!N87</f>
        <v>5.5555555555555552E-2</v>
      </c>
      <c r="O111" s="1860" t="s">
        <v>3329</v>
      </c>
      <c r="P111" s="1910">
        <f>'DCA Underwriting Assumptions'!$Q$155</f>
        <v>0.05</v>
      </c>
      <c r="Z111" s="1857">
        <v>87</v>
      </c>
    </row>
    <row r="112" spans="1:26" s="1856" customFormat="1">
      <c r="A112" s="1857"/>
      <c r="B112" s="1857"/>
      <c r="D112" s="1903" t="s">
        <v>2634</v>
      </c>
      <c r="E112" s="1903"/>
      <c r="F112" s="1903" t="s">
        <v>764</v>
      </c>
      <c r="H112" s="1897">
        <f>'Part I-Project Information'!H88</f>
        <v>2</v>
      </c>
      <c r="K112" s="1856" t="s">
        <v>2635</v>
      </c>
      <c r="N112" s="1909">
        <f>'Part I-Project Information'!N88</f>
        <v>0.5</v>
      </c>
      <c r="O112" s="1860" t="s">
        <v>3329</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2.7777777777777776E-2</v>
      </c>
      <c r="O114" s="1860" t="s">
        <v>3329</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3990</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4097</v>
      </c>
      <c r="L119" s="1857"/>
      <c r="M119" s="1857"/>
      <c r="Z119" s="1857">
        <v>95</v>
      </c>
    </row>
    <row r="120" spans="1:26" s="1856" customFormat="1" ht="13.35" customHeight="1">
      <c r="B120" s="1857" t="s">
        <v>1895</v>
      </c>
      <c r="C120" s="1856" t="s">
        <v>1473</v>
      </c>
      <c r="K120" s="1858" t="s">
        <v>4011</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No</v>
      </c>
      <c r="K125" s="1858" t="s">
        <v>6315</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6314</v>
      </c>
      <c r="D129" s="1903"/>
      <c r="H129" s="1863" t="str">
        <f>'Part I-Project Information'!H105</f>
        <v>Other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3305</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1000000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Kenneth Blankenship</v>
      </c>
      <c r="D149" s="1869"/>
      <c r="E149" s="1869"/>
      <c r="F149" s="1869" t="str">
        <f>'Part I-Project Information'!F125</f>
        <v>Hunters Haven</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Devin Blankenship</v>
      </c>
      <c r="D150" s="1869"/>
      <c r="E150" s="1869"/>
      <c r="F150" s="1869" t="str">
        <f>'Part I-Project Information'!F126</f>
        <v>Hunters Haven</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Paul Smith</v>
      </c>
      <c r="D151" s="1869"/>
      <c r="E151" s="1869"/>
      <c r="F151" s="1869" t="str">
        <f>'Part I-Project Information'!F127</f>
        <v>Hunters Haven</v>
      </c>
      <c r="G151" s="1869"/>
      <c r="H151" s="1869"/>
      <c r="I151" s="1916" t="str">
        <f>'Part I-Project Information'!I127</f>
        <v>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Jorg Weissflog</v>
      </c>
      <c r="D152" s="1869"/>
      <c r="E152" s="1869"/>
      <c r="F152" s="1869" t="str">
        <f>'Part I-Project Information'!F128</f>
        <v>Hunters Haven</v>
      </c>
      <c r="G152" s="1869"/>
      <c r="H152" s="1869"/>
      <c r="I152" s="1916" t="str">
        <f>'Part I-Project Information'!I128</f>
        <v>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7026</v>
      </c>
      <c r="I166" s="1879" t="str">
        <f>'Part I-Project Information'!I142</f>
        <v>No</v>
      </c>
      <c r="K166" s="1856" t="s">
        <v>6480</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6840</v>
      </c>
      <c r="I168" s="1879">
        <f>'Part I-Project Information'!I144</f>
        <v>0</v>
      </c>
      <c r="K168" s="1856" t="s">
        <v>6481</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6483</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6484</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6397</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6841</v>
      </c>
      <c r="I175" s="1879">
        <f>'Part I-Project Information'!I151</f>
        <v>0</v>
      </c>
      <c r="K175" s="1856" t="s">
        <v>6481</v>
      </c>
      <c r="M175" s="1857"/>
      <c r="O175" s="1913">
        <f>'Part I-Project Information'!O151</f>
        <v>0</v>
      </c>
      <c r="P175" s="1913"/>
      <c r="Z175" s="1857">
        <v>151</v>
      </c>
    </row>
    <row r="176" spans="1:26" s="1856" customFormat="1" ht="12" customHeight="1">
      <c r="A176" s="1857"/>
      <c r="B176" s="1857"/>
      <c r="C176" s="1903" t="s">
        <v>6398</v>
      </c>
      <c r="D176" s="1903"/>
      <c r="E176" s="1903"/>
      <c r="F176" s="1857"/>
      <c r="I176" s="1917">
        <f>'Part I-Project Information'!I152</f>
        <v>0</v>
      </c>
      <c r="K176" s="1856" t="s">
        <v>6483</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6484</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6397</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7092</v>
      </c>
      <c r="F182" s="1865"/>
      <c r="G182" s="1865"/>
      <c r="I182" s="1918">
        <f>'Part I-Project Information'!I158</f>
        <v>0</v>
      </c>
      <c r="K182" s="1865" t="s">
        <v>4088</v>
      </c>
      <c r="L182" s="1865"/>
      <c r="M182" s="1865"/>
      <c r="O182" s="1918">
        <f>'Part I-Project Information'!O158</f>
        <v>0</v>
      </c>
      <c r="P182" s="1880"/>
      <c r="Z182" s="1857">
        <v>158</v>
      </c>
    </row>
    <row r="183" spans="1:26" s="1856" customFormat="1" ht="12" customHeight="1">
      <c r="A183" s="1857"/>
      <c r="C183" s="1903"/>
      <c r="D183" s="1903"/>
      <c r="E183" s="1865" t="s">
        <v>7093</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4085</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6304</v>
      </c>
      <c r="D193" s="1883"/>
      <c r="E193" s="1883"/>
      <c r="F193" s="1857"/>
      <c r="G193" s="1857"/>
      <c r="H193" s="1857"/>
      <c r="I193" s="1918">
        <f>'Part I-Project Information'!I169</f>
        <v>0</v>
      </c>
      <c r="J193" s="1858" t="s">
        <v>6305</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6523</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Yes</v>
      </c>
      <c r="J204" s="1856" t="s">
        <v>731</v>
      </c>
      <c r="L204" s="1918">
        <f>'Part I-Project Information'!L180</f>
        <v>2053</v>
      </c>
      <c r="M204" s="1856" t="s">
        <v>2222</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6801</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6488</v>
      </c>
      <c r="E209" s="1865"/>
      <c r="F209" s="1925"/>
      <c r="G209" s="1925"/>
      <c r="H209" s="1925"/>
      <c r="I209" s="1926"/>
      <c r="J209" s="1926"/>
      <c r="K209" s="1926"/>
      <c r="L209" s="1918" t="str">
        <f>'Part I-Project Information'!L185</f>
        <v>No</v>
      </c>
      <c r="M209" s="1874" t="s">
        <v>6489</v>
      </c>
      <c r="N209" s="1925"/>
      <c r="O209" s="1928">
        <f>'Part I-Project Information'!O185</f>
        <v>0</v>
      </c>
      <c r="P209" s="1928"/>
      <c r="Z209" s="1857">
        <v>185</v>
      </c>
    </row>
    <row r="210" spans="1:26" ht="12" customHeight="1">
      <c r="B210" s="1865"/>
      <c r="C210" s="1927" t="s">
        <v>1898</v>
      </c>
      <c r="D210" s="1874" t="s">
        <v>6618</v>
      </c>
      <c r="E210" s="1865"/>
      <c r="F210" s="1925"/>
      <c r="G210" s="1925"/>
      <c r="H210" s="1925"/>
      <c r="I210" s="1926"/>
      <c r="J210" s="1926"/>
      <c r="K210" s="1926"/>
      <c r="L210" s="1918" t="str">
        <f>'Part I-Project Information'!L186</f>
        <v>No</v>
      </c>
      <c r="M210" s="1874" t="s">
        <v>6489</v>
      </c>
      <c r="N210" s="1925"/>
      <c r="O210" s="1928">
        <f>'Part I-Project Information'!O186</f>
        <v>0</v>
      </c>
      <c r="P210" s="1928"/>
      <c r="Z210" s="1857">
        <v>186</v>
      </c>
    </row>
    <row r="211" spans="1:26" ht="12" customHeight="1">
      <c r="B211" s="1865"/>
      <c r="C211" s="1927" t="s">
        <v>2416</v>
      </c>
      <c r="D211" s="1874" t="s">
        <v>6490</v>
      </c>
      <c r="E211" s="1865"/>
      <c r="F211" s="1925"/>
      <c r="G211" s="1925"/>
      <c r="H211" s="1925"/>
      <c r="I211" s="1926"/>
      <c r="J211" s="1926"/>
      <c r="K211" s="1926"/>
      <c r="L211" s="1918" t="str">
        <f>'Part I-Project Information'!L187</f>
        <v>No</v>
      </c>
      <c r="M211" s="1874" t="s">
        <v>6489</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6804</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6791</v>
      </c>
      <c r="D215" s="1936"/>
      <c r="E215" s="1936"/>
      <c r="F215" s="1936"/>
      <c r="G215" s="1865"/>
      <c r="H215" s="1874" t="s">
        <v>6806</v>
      </c>
      <c r="I215" s="1874"/>
      <c r="J215" s="1874" t="s">
        <v>6790</v>
      </c>
      <c r="K215" s="1874"/>
      <c r="L215" s="1874" t="s">
        <v>6789</v>
      </c>
      <c r="M215" s="1874"/>
      <c r="N215" s="1874"/>
      <c r="O215" s="1874"/>
      <c r="P215" s="1874"/>
      <c r="Z215" s="1857">
        <v>191</v>
      </c>
    </row>
    <row r="216" spans="1:26">
      <c r="A216" s="1934"/>
      <c r="B216" s="1937"/>
      <c r="C216" s="1936" t="s">
        <v>6802</v>
      </c>
      <c r="D216" s="1936"/>
      <c r="E216" s="1936"/>
      <c r="F216" s="1938" t="s">
        <v>6783</v>
      </c>
      <c r="G216" s="1938" t="s">
        <v>6784</v>
      </c>
      <c r="H216" s="1939" t="str">
        <f>'Part I-Project Information'!H192</f>
        <v/>
      </c>
      <c r="I216" s="1940" t="s">
        <v>6785</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6786</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6787</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6491</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6788</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6805</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6545</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4127</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6400</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45170</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Section XIII-B:  Applicant is choosing to waive its Qualifed Contract Right in exchange for 3 points in Scoring Section XV A, Option 1.  Therefore, "Yes" was selected in Section XIII-B</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2021-041 Hunters Haven, ,  County</v>
      </c>
      <c r="Z247" s="1857">
        <v>2</v>
      </c>
    </row>
    <row r="248" spans="1:26" s="1865" customFormat="1" ht="12" customHeight="1">
      <c r="A248" s="1858" t="s">
        <v>3811</v>
      </c>
      <c r="Z248" s="1857">
        <v>3</v>
      </c>
    </row>
    <row r="249" spans="1:26" s="1856" customFormat="1" ht="13.35" customHeight="1">
      <c r="A249" s="1856" t="s">
        <v>586</v>
      </c>
      <c r="B249" s="1858" t="s">
        <v>1772</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HH Family I, LP</v>
      </c>
      <c r="I251" s="1914"/>
      <c r="J251" s="1914"/>
      <c r="K251" s="1914"/>
      <c r="L251" s="1914"/>
      <c r="M251" s="1914"/>
      <c r="N251" s="1914"/>
      <c r="O251" s="1888" t="s">
        <v>1899</v>
      </c>
      <c r="P251" s="1888"/>
      <c r="Q251" s="1863" t="str">
        <f>'Part II-Development Team'!Q6</f>
        <v>Devin Blankenship</v>
      </c>
      <c r="R251" s="1914"/>
      <c r="S251" s="1914"/>
      <c r="Z251" s="1857">
        <v>6</v>
      </c>
    </row>
    <row r="252" spans="1:26" s="1856" customFormat="1" ht="11.25" customHeight="1">
      <c r="D252" s="1887"/>
      <c r="E252" s="1858" t="s">
        <v>982</v>
      </c>
      <c r="F252" s="1860"/>
      <c r="H252" s="1863" t="str">
        <f>'Part II-Development Team'!H7</f>
        <v>1211 Pebble Creek RD SE</v>
      </c>
      <c r="I252" s="1914"/>
      <c r="J252" s="1914"/>
      <c r="K252" s="1914"/>
      <c r="L252" s="1914"/>
      <c r="M252" s="1914"/>
      <c r="N252" s="1914"/>
      <c r="O252" s="1888" t="s">
        <v>1668</v>
      </c>
      <c r="P252" s="1863"/>
      <c r="Q252" s="1863" t="str">
        <f>'Part II-Development Team'!Q7</f>
        <v>Member</v>
      </c>
      <c r="R252" s="1914"/>
      <c r="S252" s="1914"/>
      <c r="Z252" s="1857">
        <v>7</v>
      </c>
    </row>
    <row r="253" spans="1:26" s="1856" customFormat="1" ht="11.25" customHeight="1">
      <c r="D253" s="1887"/>
      <c r="E253" s="1858" t="s">
        <v>588</v>
      </c>
      <c r="H253" s="1863" t="str">
        <f>'Part II-Development Team'!H8</f>
        <v>Marietta</v>
      </c>
      <c r="I253" s="1914"/>
      <c r="J253" s="1914"/>
      <c r="K253" s="1879" t="s">
        <v>732</v>
      </c>
      <c r="L253" s="1863">
        <f>'Part II-Development Team'!L8</f>
        <v>0</v>
      </c>
      <c r="M253" s="1914"/>
      <c r="N253" s="1914"/>
      <c r="O253" s="1888" t="s">
        <v>1644</v>
      </c>
      <c r="P253" s="1863"/>
      <c r="Q253" s="1878">
        <f>'Part II-Development Team'!Q8</f>
        <v>6785928103</v>
      </c>
      <c r="R253" s="1878"/>
      <c r="S253" s="1878"/>
      <c r="Z253" s="1857">
        <v>8</v>
      </c>
    </row>
    <row r="254" spans="1:26" s="1856" customFormat="1" ht="11.25" customHeight="1">
      <c r="D254" s="1887"/>
      <c r="E254" s="1858" t="s">
        <v>1717</v>
      </c>
      <c r="H254" s="1888" t="str">
        <f>'Part II-Development Team'!H9</f>
        <v>GA</v>
      </c>
      <c r="I254" s="1879" t="s">
        <v>2128</v>
      </c>
      <c r="J254" s="1877">
        <f>'Part II-Development Team'!J9</f>
        <v>300675433</v>
      </c>
      <c r="K254" s="1914"/>
      <c r="L254" s="1863" t="s">
        <v>3322</v>
      </c>
      <c r="M254" s="1863" t="str">
        <f>'Part II-Development Team'!M9</f>
        <v>For Profit</v>
      </c>
      <c r="N254" s="1863"/>
      <c r="O254" s="1888" t="s">
        <v>1889</v>
      </c>
      <c r="P254" s="1863"/>
      <c r="Q254" s="1878">
        <f>'Part II-Development Team'!Q9</f>
        <v>6785928103</v>
      </c>
      <c r="R254" s="1878"/>
      <c r="S254" s="1878"/>
      <c r="Z254" s="1857">
        <v>9</v>
      </c>
    </row>
    <row r="255" spans="1:26" s="1856" customFormat="1" ht="11.25" customHeight="1">
      <c r="D255" s="1887"/>
      <c r="E255" s="1858" t="s">
        <v>3614</v>
      </c>
      <c r="H255" s="1878">
        <f>'Part II-Development Team'!H10</f>
        <v>7707434124</v>
      </c>
      <c r="I255" s="1878"/>
      <c r="J255" s="1918">
        <f>'Part II-Development Team'!J10</f>
        <v>2</v>
      </c>
      <c r="K255" s="1879" t="s">
        <v>1894</v>
      </c>
      <c r="L255" s="1872" t="str">
        <f>'Part II-Development Team'!L10</f>
        <v>Devin@TalonDevelopmentLLC.com</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HH Family I GP, LLC</v>
      </c>
      <c r="I260" s="1914"/>
      <c r="J260" s="1914"/>
      <c r="K260" s="1914"/>
      <c r="L260" s="1914"/>
      <c r="M260" s="1914"/>
      <c r="N260" s="1914"/>
      <c r="O260" s="1888" t="s">
        <v>1899</v>
      </c>
      <c r="P260" s="1888"/>
      <c r="Q260" s="1863" t="str">
        <f>'Part II-Development Team'!Q15</f>
        <v>Devin Blankenship</v>
      </c>
      <c r="R260" s="1914"/>
      <c r="S260" s="1914"/>
      <c r="Z260" s="1857">
        <v>15</v>
      </c>
    </row>
    <row r="261" spans="2:26" s="1856" customFormat="1" ht="11.25" customHeight="1">
      <c r="D261" s="1887"/>
      <c r="E261" s="1858" t="s">
        <v>982</v>
      </c>
      <c r="F261" s="1860"/>
      <c r="H261" s="1863" t="str">
        <f>'Part II-Development Team'!H16</f>
        <v>1211 Pebble Creek RD SE</v>
      </c>
      <c r="I261" s="1914"/>
      <c r="J261" s="1914"/>
      <c r="K261" s="1914"/>
      <c r="L261" s="1914"/>
      <c r="M261" s="1914"/>
      <c r="N261" s="1914"/>
      <c r="O261" s="1888" t="s">
        <v>1668</v>
      </c>
      <c r="P261" s="1863"/>
      <c r="Q261" s="1863" t="str">
        <f>'Part II-Development Team'!Q16</f>
        <v>Member</v>
      </c>
      <c r="R261" s="1914"/>
      <c r="S261" s="1914"/>
      <c r="Z261" s="1857">
        <v>16</v>
      </c>
    </row>
    <row r="262" spans="2:26" s="1856" customFormat="1" ht="11.25" customHeight="1">
      <c r="D262" s="1887"/>
      <c r="E262" s="1858" t="s">
        <v>588</v>
      </c>
      <c r="H262" s="1863" t="str">
        <f>'Part II-Development Team'!H17</f>
        <v>Marietta</v>
      </c>
      <c r="I262" s="1914"/>
      <c r="J262" s="1914"/>
      <c r="K262" s="1879" t="s">
        <v>2553</v>
      </c>
      <c r="L262" s="1863" t="str">
        <f>'Part II-Development Team'!L17</f>
        <v>NA</v>
      </c>
      <c r="M262" s="1914"/>
      <c r="N262" s="1914"/>
      <c r="O262" s="1888" t="s">
        <v>1644</v>
      </c>
      <c r="P262" s="1863"/>
      <c r="Q262" s="1878">
        <f>'Part II-Development Team'!Q17</f>
        <v>6785928103</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300675433</v>
      </c>
      <c r="M263" s="1914"/>
      <c r="N263" s="1863"/>
      <c r="O263" s="1888" t="s">
        <v>1889</v>
      </c>
      <c r="P263" s="1863"/>
      <c r="Q263" s="1878">
        <f>'Part II-Development Team'!Q18</f>
        <v>6785928103</v>
      </c>
      <c r="R263" s="1878"/>
      <c r="S263" s="1878"/>
      <c r="Z263" s="1857">
        <v>18</v>
      </c>
    </row>
    <row r="264" spans="2:26" s="1856" customFormat="1" ht="11.25" customHeight="1">
      <c r="D264" s="1887"/>
      <c r="E264" s="1858" t="s">
        <v>3614</v>
      </c>
      <c r="H264" s="1878">
        <f>'Part II-Development Team'!H19</f>
        <v>7707434124</v>
      </c>
      <c r="I264" s="1878"/>
      <c r="J264" s="1918">
        <f>'Part II-Development Team'!J19</f>
        <v>2</v>
      </c>
      <c r="K264" s="1879" t="s">
        <v>1894</v>
      </c>
      <c r="L264" s="1872" t="str">
        <f>'Part II-Development Team'!L19</f>
        <v>Devin@TalonDevelopmentLLC.com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t="str">
        <f>'Part II-Development Team'!H21</f>
        <v>Talon HH I GP, LLC</v>
      </c>
      <c r="I266" s="1914"/>
      <c r="J266" s="1914"/>
      <c r="K266" s="1914"/>
      <c r="L266" s="1914"/>
      <c r="M266" s="1914"/>
      <c r="N266" s="1914"/>
      <c r="O266" s="1888" t="s">
        <v>1899</v>
      </c>
      <c r="P266" s="1888"/>
      <c r="Q266" s="1863" t="str">
        <f>'Part II-Development Team'!Q21</f>
        <v>Devin Blankenship</v>
      </c>
      <c r="R266" s="1914"/>
      <c r="S266" s="1914"/>
      <c r="Z266" s="1857">
        <v>21</v>
      </c>
    </row>
    <row r="267" spans="2:26" s="1856" customFormat="1" ht="11.25" customHeight="1">
      <c r="D267" s="1887"/>
      <c r="E267" s="1858" t="s">
        <v>982</v>
      </c>
      <c r="F267" s="1860"/>
      <c r="H267" s="1863" t="str">
        <f>'Part II-Development Team'!H22</f>
        <v>1211 Pebble Creek RD SE</v>
      </c>
      <c r="I267" s="1914"/>
      <c r="J267" s="1914"/>
      <c r="K267" s="1914"/>
      <c r="L267" s="1914"/>
      <c r="M267" s="1914"/>
      <c r="N267" s="1914"/>
      <c r="O267" s="1888" t="s">
        <v>1668</v>
      </c>
      <c r="P267" s="1863"/>
      <c r="Q267" s="1863" t="str">
        <f>'Part II-Development Team'!Q22</f>
        <v>Member</v>
      </c>
      <c r="R267" s="1914"/>
      <c r="S267" s="1914"/>
      <c r="Z267" s="1857">
        <v>22</v>
      </c>
    </row>
    <row r="268" spans="2:26" s="1856" customFormat="1" ht="11.25" customHeight="1">
      <c r="D268" s="1887"/>
      <c r="E268" s="1858" t="s">
        <v>588</v>
      </c>
      <c r="H268" s="1863" t="str">
        <f>'Part II-Development Team'!H23</f>
        <v>Marietta</v>
      </c>
      <c r="I268" s="1914"/>
      <c r="J268" s="1914"/>
      <c r="K268" s="1879" t="s">
        <v>2553</v>
      </c>
      <c r="L268" s="1863" t="str">
        <f>'Part II-Development Team'!L23</f>
        <v>NA</v>
      </c>
      <c r="M268" s="1914"/>
      <c r="N268" s="1914"/>
      <c r="O268" s="1888" t="s">
        <v>1644</v>
      </c>
      <c r="P268" s="1863"/>
      <c r="Q268" s="1878">
        <f>'Part II-Development Team'!Q23</f>
        <v>6785928103</v>
      </c>
      <c r="R268" s="1878"/>
      <c r="S268" s="1878"/>
      <c r="Z268" s="1857">
        <v>23</v>
      </c>
    </row>
    <row r="269" spans="2:26" s="1856" customFormat="1" ht="11.25" customHeight="1">
      <c r="E269" s="1858" t="s">
        <v>1717</v>
      </c>
      <c r="H269" s="1888" t="str">
        <f>'Part II-Development Team'!H24</f>
        <v>GA</v>
      </c>
      <c r="I269" s="1863"/>
      <c r="J269" s="1863"/>
      <c r="K269" s="1879" t="s">
        <v>2128</v>
      </c>
      <c r="L269" s="1877">
        <f>'Part II-Development Team'!L24</f>
        <v>300675433</v>
      </c>
      <c r="M269" s="1914"/>
      <c r="N269" s="1863"/>
      <c r="O269" s="1888" t="s">
        <v>1889</v>
      </c>
      <c r="P269" s="1863"/>
      <c r="Q269" s="1878">
        <f>'Part II-Development Team'!Q24</f>
        <v>6785928103</v>
      </c>
      <c r="R269" s="1878"/>
      <c r="S269" s="1878"/>
      <c r="Z269" s="1857">
        <v>24</v>
      </c>
    </row>
    <row r="270" spans="2:26" s="1856" customFormat="1" ht="11.25" customHeight="1">
      <c r="D270" s="1887"/>
      <c r="E270" s="1858" t="s">
        <v>3614</v>
      </c>
      <c r="H270" s="1878">
        <f>'Part II-Development Team'!H25</f>
        <v>7707434124</v>
      </c>
      <c r="I270" s="1878"/>
      <c r="J270" s="1918">
        <f>'Part II-Development Team'!J25</f>
        <v>2</v>
      </c>
      <c r="K270" s="1879" t="s">
        <v>1894</v>
      </c>
      <c r="L270" s="1872" t="str">
        <f>'Part II-Development Team'!L25</f>
        <v>Devin@TalonDevelopmentLLC.com</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t="str">
        <f>'Part II-Development Team'!H27</f>
        <v>Grove Creek HH I GP, LLC</v>
      </c>
      <c r="I272" s="1914"/>
      <c r="J272" s="1914"/>
      <c r="K272" s="1914"/>
      <c r="L272" s="1914"/>
      <c r="M272" s="1914"/>
      <c r="N272" s="1914"/>
      <c r="O272" s="1888" t="s">
        <v>1899</v>
      </c>
      <c r="P272" s="1888"/>
      <c r="Q272" s="1863" t="str">
        <f>'Part II-Development Team'!Q27</f>
        <v>Jorg R. Weissflog</v>
      </c>
      <c r="R272" s="1914"/>
      <c r="S272" s="1914"/>
      <c r="Z272" s="1857">
        <v>27</v>
      </c>
    </row>
    <row r="273" spans="3:26" s="1856" customFormat="1" ht="11.25" customHeight="1">
      <c r="D273" s="1887"/>
      <c r="E273" s="1858" t="s">
        <v>982</v>
      </c>
      <c r="F273" s="1860"/>
      <c r="H273" s="1863" t="str">
        <f>'Part II-Development Team'!H28</f>
        <v>102 Guthrie Way</v>
      </c>
      <c r="I273" s="1914"/>
      <c r="J273" s="1914"/>
      <c r="K273" s="1914"/>
      <c r="L273" s="1914"/>
      <c r="M273" s="1914"/>
      <c r="N273" s="1914"/>
      <c r="O273" s="1888" t="s">
        <v>1668</v>
      </c>
      <c r="P273" s="1863"/>
      <c r="Q273" s="1863" t="str">
        <f>'Part II-Development Team'!Q28</f>
        <v>Member</v>
      </c>
      <c r="R273" s="1914"/>
      <c r="S273" s="1914"/>
      <c r="Z273" s="1857">
        <v>28</v>
      </c>
    </row>
    <row r="274" spans="3:26" s="1856" customFormat="1" ht="11.25" customHeight="1">
      <c r="D274" s="1887"/>
      <c r="E274" s="1858" t="s">
        <v>588</v>
      </c>
      <c r="H274" s="1863" t="str">
        <f>'Part II-Development Team'!H29</f>
        <v>Peachtree City</v>
      </c>
      <c r="I274" s="1914"/>
      <c r="J274" s="1914"/>
      <c r="K274" s="1879" t="s">
        <v>2553</v>
      </c>
      <c r="L274" s="1863" t="str">
        <f>'Part II-Development Team'!L29</f>
        <v>NA</v>
      </c>
      <c r="M274" s="1914"/>
      <c r="N274" s="1914"/>
      <c r="O274" s="1888" t="s">
        <v>1644</v>
      </c>
      <c r="P274" s="1863"/>
      <c r="Q274" s="1878">
        <f>'Part II-Development Team'!Q29</f>
        <v>7702834091</v>
      </c>
      <c r="R274" s="1878"/>
      <c r="S274" s="1878"/>
      <c r="Z274" s="1857">
        <v>29</v>
      </c>
    </row>
    <row r="275" spans="3:26" s="1856" customFormat="1" ht="11.25" customHeight="1">
      <c r="E275" s="1858" t="s">
        <v>1717</v>
      </c>
      <c r="H275" s="1888" t="str">
        <f>'Part II-Development Team'!H30</f>
        <v>GA</v>
      </c>
      <c r="I275" s="1863"/>
      <c r="J275" s="1863"/>
      <c r="K275" s="1879" t="s">
        <v>2128</v>
      </c>
      <c r="L275" s="1877">
        <f>'Part II-Development Team'!L30</f>
        <v>302691693</v>
      </c>
      <c r="M275" s="1914"/>
      <c r="N275" s="1863"/>
      <c r="O275" s="1888" t="s">
        <v>1889</v>
      </c>
      <c r="P275" s="1863"/>
      <c r="Q275" s="1878">
        <f>'Part II-Development Team'!Q30</f>
        <v>7702834091</v>
      </c>
      <c r="R275" s="1878"/>
      <c r="S275" s="1878"/>
      <c r="Z275" s="1857">
        <v>30</v>
      </c>
    </row>
    <row r="276" spans="3:26" s="1856" customFormat="1" ht="11.25" customHeight="1">
      <c r="D276" s="1887"/>
      <c r="E276" s="1858" t="s">
        <v>3614</v>
      </c>
      <c r="H276" s="1878">
        <f>'Part II-Development Team'!H31</f>
        <v>7702834091</v>
      </c>
      <c r="I276" s="1878"/>
      <c r="J276" s="1918">
        <f>'Part II-Development Team'!J31</f>
        <v>0</v>
      </c>
      <c r="K276" s="1879" t="s">
        <v>1894</v>
      </c>
      <c r="L276" s="1872" t="str">
        <f>'Part II-Development Team'!L31</f>
        <v>jorgrw@yahoo.com</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Direct Tax Credits (fund name TBD)</v>
      </c>
      <c r="I279" s="1914"/>
      <c r="J279" s="1914"/>
      <c r="K279" s="1914"/>
      <c r="L279" s="1914"/>
      <c r="M279" s="1914"/>
      <c r="N279" s="1914"/>
      <c r="O279" s="1888" t="s">
        <v>1899</v>
      </c>
      <c r="P279" s="1888"/>
      <c r="Q279" s="1863" t="str">
        <f>'Part II-Development Team'!Q34</f>
        <v>Paul Smith</v>
      </c>
      <c r="R279" s="1914"/>
      <c r="S279" s="1914"/>
      <c r="Z279" s="1857">
        <v>34</v>
      </c>
    </row>
    <row r="280" spans="3:26" s="1856" customFormat="1" ht="11.25" customHeight="1">
      <c r="D280" s="1887"/>
      <c r="E280" s="1858" t="s">
        <v>982</v>
      </c>
      <c r="F280" s="1860"/>
      <c r="H280" s="1863" t="str">
        <f>'Part II-Development Team'!H35</f>
        <v>175 Fulton CT</v>
      </c>
      <c r="I280" s="1914"/>
      <c r="J280" s="1914"/>
      <c r="K280" s="1914"/>
      <c r="L280" s="1914"/>
      <c r="M280" s="1914"/>
      <c r="N280" s="1914"/>
      <c r="O280" s="1888" t="s">
        <v>1668</v>
      </c>
      <c r="P280" s="1863"/>
      <c r="Q280" s="1863" t="str">
        <f>'Part II-Development Team'!Q35</f>
        <v>Principle</v>
      </c>
      <c r="R280" s="1914"/>
      <c r="S280" s="1914"/>
      <c r="Z280" s="1868">
        <v>35</v>
      </c>
    </row>
    <row r="281" spans="3:26" s="1856" customFormat="1" ht="11.25" customHeight="1">
      <c r="D281" s="1887"/>
      <c r="E281" s="1858" t="s">
        <v>588</v>
      </c>
      <c r="H281" s="1863" t="str">
        <f>'Part II-Development Team'!H36</f>
        <v>Peachtree City</v>
      </c>
      <c r="I281" s="1914"/>
      <c r="J281" s="1914"/>
      <c r="K281" s="1879" t="s">
        <v>2553</v>
      </c>
      <c r="L281" s="1863" t="str">
        <f>'Part II-Development Team'!L36</f>
        <v>www.directtaxcredits.com</v>
      </c>
      <c r="M281" s="1914"/>
      <c r="N281" s="1914"/>
      <c r="O281" s="1888" t="s">
        <v>1644</v>
      </c>
      <c r="P281" s="1863"/>
      <c r="Q281" s="1878">
        <f>'Part II-Development Team'!Q36</f>
        <v>7702805165</v>
      </c>
      <c r="R281" s="1878"/>
      <c r="S281" s="1878"/>
      <c r="Z281" s="1857">
        <v>36</v>
      </c>
    </row>
    <row r="282" spans="3:26" s="1856" customFormat="1" ht="11.25" customHeight="1">
      <c r="E282" s="1858" t="s">
        <v>1717</v>
      </c>
      <c r="H282" s="1888" t="str">
        <f>'Part II-Development Team'!H37</f>
        <v>GA</v>
      </c>
      <c r="I282" s="1863"/>
      <c r="J282" s="1863"/>
      <c r="K282" s="1879" t="s">
        <v>2128</v>
      </c>
      <c r="L282" s="1877">
        <f>'Part II-Development Team'!L37</f>
        <v>302691693</v>
      </c>
      <c r="M282" s="1914"/>
      <c r="N282" s="1863"/>
      <c r="O282" s="1888" t="s">
        <v>1889</v>
      </c>
      <c r="P282" s="1863"/>
      <c r="Q282" s="1878">
        <f>'Part II-Development Team'!Q37</f>
        <v>7702805165</v>
      </c>
      <c r="R282" s="1878"/>
      <c r="S282" s="1878"/>
      <c r="Z282" s="1857">
        <v>37</v>
      </c>
    </row>
    <row r="283" spans="3:26" s="1856" customFormat="1" ht="11.25" customHeight="1">
      <c r="D283" s="1887"/>
      <c r="E283" s="1858" t="s">
        <v>3614</v>
      </c>
      <c r="H283" s="1878">
        <f>'Part II-Development Team'!H38</f>
        <v>7702805165</v>
      </c>
      <c r="I283" s="1878"/>
      <c r="J283" s="1918">
        <f>'Part II-Development Team'!J38</f>
        <v>0</v>
      </c>
      <c r="K283" s="1879" t="s">
        <v>1894</v>
      </c>
      <c r="L283" s="1872" t="str">
        <f>'Part II-Development Team'!L38</f>
        <v>psmith@directtaxcredits.com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Direct Tax Credits (fund name TBD)</v>
      </c>
      <c r="I285" s="1914"/>
      <c r="J285" s="1914"/>
      <c r="K285" s="1914"/>
      <c r="L285" s="1914"/>
      <c r="M285" s="1914"/>
      <c r="N285" s="1914"/>
      <c r="O285" s="1888" t="s">
        <v>1899</v>
      </c>
      <c r="P285" s="1888"/>
      <c r="Q285" s="1863" t="str">
        <f>'Part II-Development Team'!Q40</f>
        <v>Paul Smith</v>
      </c>
      <c r="R285" s="1914"/>
      <c r="S285" s="1914"/>
      <c r="Z285" s="1857">
        <v>40</v>
      </c>
    </row>
    <row r="286" spans="3:26" s="1856" customFormat="1" ht="11.25" customHeight="1">
      <c r="D286" s="1887"/>
      <c r="E286" s="1858" t="s">
        <v>982</v>
      </c>
      <c r="F286" s="1860"/>
      <c r="H286" s="1863" t="str">
        <f>'Part II-Development Team'!H41</f>
        <v>175 Fulton CT</v>
      </c>
      <c r="I286" s="1914"/>
      <c r="J286" s="1914"/>
      <c r="K286" s="1914"/>
      <c r="L286" s="1914"/>
      <c r="M286" s="1914"/>
      <c r="N286" s="1914"/>
      <c r="O286" s="1888" t="s">
        <v>1668</v>
      </c>
      <c r="P286" s="1863"/>
      <c r="Q286" s="1863" t="str">
        <f>'Part II-Development Team'!Q41</f>
        <v>Principle</v>
      </c>
      <c r="R286" s="1914"/>
      <c r="S286" s="1914"/>
      <c r="Z286" s="1857">
        <v>41</v>
      </c>
    </row>
    <row r="287" spans="3:26" s="1856" customFormat="1" ht="11.25" customHeight="1">
      <c r="D287" s="1887"/>
      <c r="E287" s="1858" t="s">
        <v>588</v>
      </c>
      <c r="H287" s="1863" t="str">
        <f>'Part II-Development Team'!H42</f>
        <v>Peachtree City</v>
      </c>
      <c r="I287" s="1914"/>
      <c r="J287" s="1914"/>
      <c r="K287" s="1879" t="s">
        <v>2553</v>
      </c>
      <c r="L287" s="1863" t="str">
        <f>'Part II-Development Team'!L42</f>
        <v>www.directtaxcredits.com</v>
      </c>
      <c r="M287" s="1914"/>
      <c r="N287" s="1914"/>
      <c r="O287" s="1888" t="s">
        <v>1644</v>
      </c>
      <c r="P287" s="1863"/>
      <c r="Q287" s="1878">
        <f>'Part II-Development Team'!Q42</f>
        <v>7702805165</v>
      </c>
      <c r="R287" s="1878"/>
      <c r="S287" s="1878"/>
      <c r="Z287" s="1857">
        <v>42</v>
      </c>
    </row>
    <row r="288" spans="3:26" s="1856" customFormat="1" ht="11.25" customHeight="1">
      <c r="E288" s="1858" t="s">
        <v>1717</v>
      </c>
      <c r="H288" s="1888" t="str">
        <f>'Part II-Development Team'!H43</f>
        <v>GA</v>
      </c>
      <c r="I288" s="1863"/>
      <c r="J288" s="1863"/>
      <c r="K288" s="1879" t="s">
        <v>2128</v>
      </c>
      <c r="L288" s="1877">
        <f>'Part II-Development Team'!L43</f>
        <v>302691693</v>
      </c>
      <c r="M288" s="1914"/>
      <c r="N288" s="1863"/>
      <c r="O288" s="1888" t="s">
        <v>1889</v>
      </c>
      <c r="P288" s="1863"/>
      <c r="Q288" s="1878">
        <f>'Part II-Development Team'!Q43</f>
        <v>7702805165</v>
      </c>
      <c r="R288" s="1878"/>
      <c r="S288" s="1878"/>
      <c r="Z288" s="1857">
        <v>43</v>
      </c>
    </row>
    <row r="289" spans="1:26" s="1856" customFormat="1" ht="11.25" customHeight="1">
      <c r="D289" s="1887"/>
      <c r="E289" s="1858" t="s">
        <v>3614</v>
      </c>
      <c r="H289" s="1878">
        <f>'Part II-Development Team'!H44</f>
        <v>7702805165</v>
      </c>
      <c r="I289" s="1878"/>
      <c r="J289" s="1918">
        <f>'Part II-Development Team'!J44</f>
        <v>0</v>
      </c>
      <c r="K289" s="1879" t="s">
        <v>1894</v>
      </c>
      <c r="L289" s="1872" t="str">
        <f>'Part II-Development Team'!L44</f>
        <v>psmith@directtaxcredits.com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3614</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Talon Development Company LLC</v>
      </c>
      <c r="I300" s="1914"/>
      <c r="J300" s="1914"/>
      <c r="K300" s="1914"/>
      <c r="L300" s="1914"/>
      <c r="M300" s="1914"/>
      <c r="N300" s="1914"/>
      <c r="O300" s="1888" t="s">
        <v>1899</v>
      </c>
      <c r="P300" s="1888"/>
      <c r="Q300" s="1863" t="str">
        <f>'Part II-Development Team'!Q55</f>
        <v>Devin Blankenship</v>
      </c>
      <c r="R300" s="1914"/>
      <c r="S300" s="1914"/>
      <c r="Z300" s="1857">
        <v>55</v>
      </c>
    </row>
    <row r="301" spans="1:26" s="1856" customFormat="1" ht="11.25" customHeight="1">
      <c r="D301" s="1887"/>
      <c r="E301" s="1858" t="s">
        <v>982</v>
      </c>
      <c r="F301" s="1860"/>
      <c r="H301" s="1863" t="str">
        <f>'Part II-Development Team'!H56</f>
        <v>1211 Pebble Creek RD SE</v>
      </c>
      <c r="I301" s="1914"/>
      <c r="J301" s="1914"/>
      <c r="K301" s="1914"/>
      <c r="L301" s="1914"/>
      <c r="M301" s="1914"/>
      <c r="N301" s="1914"/>
      <c r="O301" s="1888" t="s">
        <v>1668</v>
      </c>
      <c r="P301" s="1863"/>
      <c r="Q301" s="1863" t="str">
        <f>'Part II-Development Team'!Q56</f>
        <v>Partner</v>
      </c>
      <c r="R301" s="1914"/>
      <c r="S301" s="1914"/>
      <c r="Z301" s="1857">
        <v>56</v>
      </c>
    </row>
    <row r="302" spans="1:26" s="1856" customFormat="1" ht="11.25" customHeight="1">
      <c r="D302" s="1887"/>
      <c r="E302" s="1858" t="s">
        <v>588</v>
      </c>
      <c r="H302" s="1863" t="str">
        <f>'Part II-Development Team'!H57</f>
        <v>Marietta</v>
      </c>
      <c r="I302" s="1914"/>
      <c r="J302" s="1914"/>
      <c r="K302" s="1879" t="s">
        <v>2553</v>
      </c>
      <c r="L302" s="1863" t="str">
        <f>'Part II-Development Team'!L57</f>
        <v>TalonDevelopmentLLC.com</v>
      </c>
      <c r="M302" s="1914"/>
      <c r="N302" s="1914"/>
      <c r="O302" s="1888" t="s">
        <v>1644</v>
      </c>
      <c r="P302" s="1863"/>
      <c r="Q302" s="1878">
        <f>'Part II-Development Team'!Q57</f>
        <v>6785928103</v>
      </c>
      <c r="R302" s="1878"/>
      <c r="S302" s="1878"/>
      <c r="Z302" s="1857">
        <v>57</v>
      </c>
    </row>
    <row r="303" spans="1:26" s="1856" customFormat="1" ht="11.25" customHeight="1">
      <c r="E303" s="1858" t="s">
        <v>1717</v>
      </c>
      <c r="H303" s="1888" t="str">
        <f>'Part II-Development Team'!H58</f>
        <v>GA</v>
      </c>
      <c r="I303" s="1863"/>
      <c r="J303" s="1863"/>
      <c r="K303" s="1879" t="s">
        <v>2128</v>
      </c>
      <c r="L303" s="1877">
        <f>'Part II-Development Team'!L58</f>
        <v>300675433</v>
      </c>
      <c r="M303" s="1914"/>
      <c r="N303" s="1863"/>
      <c r="O303" s="1888" t="s">
        <v>1889</v>
      </c>
      <c r="P303" s="1863"/>
      <c r="Q303" s="1878">
        <f>'Part II-Development Team'!Q58</f>
        <v>6785928103</v>
      </c>
      <c r="R303" s="1878"/>
      <c r="S303" s="1878"/>
      <c r="Z303" s="1857">
        <v>58</v>
      </c>
    </row>
    <row r="304" spans="1:26" s="1856" customFormat="1" ht="11.25" customHeight="1">
      <c r="D304" s="1887"/>
      <c r="E304" s="1858" t="s">
        <v>3614</v>
      </c>
      <c r="H304" s="1878">
        <f>'Part II-Development Team'!H59</f>
        <v>7707434124</v>
      </c>
      <c r="I304" s="1878"/>
      <c r="J304" s="1918">
        <f>'Part II-Development Team'!J59</f>
        <v>2</v>
      </c>
      <c r="K304" s="1879" t="s">
        <v>1894</v>
      </c>
      <c r="L304" s="1872" t="str">
        <f>'Part II-Development Team'!L59</f>
        <v>Devin@TalonDevelopmentLLC.com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t="str">
        <f>'Part II-Development Team'!H61</f>
        <v>North Grove Ventures, LLC</v>
      </c>
      <c r="I306" s="1914"/>
      <c r="J306" s="1914"/>
      <c r="K306" s="1914"/>
      <c r="L306" s="1914"/>
      <c r="M306" s="1914"/>
      <c r="N306" s="1914"/>
      <c r="O306" s="1888" t="s">
        <v>1899</v>
      </c>
      <c r="P306" s="1888"/>
      <c r="Q306" s="1863" t="str">
        <f>'Part II-Development Team'!Q61</f>
        <v>Jorg Weissflog</v>
      </c>
      <c r="R306" s="1914"/>
      <c r="S306" s="1914"/>
      <c r="Z306" s="1857">
        <v>61</v>
      </c>
    </row>
    <row r="307" spans="2:26" s="1856" customFormat="1" ht="11.25" customHeight="1">
      <c r="D307" s="1887"/>
      <c r="E307" s="1858" t="s">
        <v>982</v>
      </c>
      <c r="F307" s="1860"/>
      <c r="H307" s="1863" t="str">
        <f>'Part II-Development Team'!H62</f>
        <v>102 Guthrie Way</v>
      </c>
      <c r="I307" s="1914"/>
      <c r="J307" s="1914"/>
      <c r="K307" s="1914"/>
      <c r="L307" s="1914"/>
      <c r="M307" s="1914"/>
      <c r="N307" s="1914"/>
      <c r="O307" s="1888" t="s">
        <v>1668</v>
      </c>
      <c r="P307" s="1863"/>
      <c r="Q307" s="1863" t="str">
        <f>'Part II-Development Team'!Q62</f>
        <v>Member</v>
      </c>
      <c r="R307" s="1914"/>
      <c r="S307" s="1914"/>
      <c r="Z307" s="1868">
        <v>62</v>
      </c>
    </row>
    <row r="308" spans="2:26" s="1856" customFormat="1" ht="11.25" customHeight="1">
      <c r="D308" s="1887"/>
      <c r="E308" s="1858" t="s">
        <v>588</v>
      </c>
      <c r="H308" s="1863" t="str">
        <f>'Part II-Development Team'!H63</f>
        <v>Peachtree City</v>
      </c>
      <c r="I308" s="1914"/>
      <c r="J308" s="1914"/>
      <c r="K308" s="1879" t="s">
        <v>2553</v>
      </c>
      <c r="L308" s="1863" t="str">
        <f>'Part II-Development Team'!L63</f>
        <v>NA</v>
      </c>
      <c r="M308" s="1914"/>
      <c r="N308" s="1914"/>
      <c r="O308" s="1888" t="s">
        <v>1644</v>
      </c>
      <c r="P308" s="1863"/>
      <c r="Q308" s="1878">
        <f>'Part II-Development Team'!Q63</f>
        <v>7702834091</v>
      </c>
      <c r="R308" s="1878"/>
      <c r="S308" s="1878"/>
      <c r="Z308" s="1857">
        <v>63</v>
      </c>
    </row>
    <row r="309" spans="2:26" s="1856" customFormat="1" ht="11.25" customHeight="1">
      <c r="E309" s="1858" t="s">
        <v>1717</v>
      </c>
      <c r="H309" s="1888" t="str">
        <f>'Part II-Development Team'!H64</f>
        <v>GA</v>
      </c>
      <c r="I309" s="1863"/>
      <c r="J309" s="1863"/>
      <c r="K309" s="1879" t="s">
        <v>2128</v>
      </c>
      <c r="L309" s="1877">
        <f>'Part II-Development Team'!L64</f>
        <v>302691693</v>
      </c>
      <c r="M309" s="1914"/>
      <c r="N309" s="1863"/>
      <c r="O309" s="1888" t="s">
        <v>1889</v>
      </c>
      <c r="P309" s="1863"/>
      <c r="Q309" s="1878">
        <f>'Part II-Development Team'!Q64</f>
        <v>7702834091</v>
      </c>
      <c r="R309" s="1878"/>
      <c r="S309" s="1878"/>
      <c r="Z309" s="1857">
        <v>64</v>
      </c>
    </row>
    <row r="310" spans="2:26" s="1856" customFormat="1" ht="11.25" customHeight="1">
      <c r="D310" s="1887"/>
      <c r="E310" s="1858" t="s">
        <v>3614</v>
      </c>
      <c r="H310" s="1878">
        <f>'Part II-Development Team'!H65</f>
        <v>7702834091</v>
      </c>
      <c r="I310" s="1878"/>
      <c r="J310" s="1918">
        <f>'Part II-Development Team'!J65</f>
        <v>0</v>
      </c>
      <c r="K310" s="1879" t="s">
        <v>1894</v>
      </c>
      <c r="L310" s="1872" t="str">
        <f>'Part II-Development Team'!L65</f>
        <v>jorgrw@yahoo.com</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Prestwick Construction Company, LLC</v>
      </c>
      <c r="I332" s="1914"/>
      <c r="J332" s="1914"/>
      <c r="K332" s="1914"/>
      <c r="L332" s="1914"/>
      <c r="M332" s="1914"/>
      <c r="N332" s="1914"/>
      <c r="O332" s="1888" t="s">
        <v>1899</v>
      </c>
      <c r="P332" s="1888"/>
      <c r="Q332" s="1863" t="str">
        <f>'Part II-Development Team'!Q87</f>
        <v>Ray Dotson</v>
      </c>
      <c r="R332" s="1914"/>
      <c r="S332" s="1914"/>
      <c r="Z332" s="1868">
        <v>87</v>
      </c>
    </row>
    <row r="333" spans="1:26" s="1856" customFormat="1" ht="11.25" customHeight="1">
      <c r="D333" s="1887"/>
      <c r="E333" s="1858" t="s">
        <v>982</v>
      </c>
      <c r="F333" s="1860"/>
      <c r="H333" s="1863" t="str">
        <f>'Part II-Development Team'!H88</f>
        <v>3715 Northside Parkwa, BLDG 400, STE 120</v>
      </c>
      <c r="I333" s="1914"/>
      <c r="J333" s="1914"/>
      <c r="K333" s="1914"/>
      <c r="L333" s="1914"/>
      <c r="M333" s="1914"/>
      <c r="N333" s="1914"/>
      <c r="O333" s="1888" t="s">
        <v>1668</v>
      </c>
      <c r="P333" s="1863"/>
      <c r="Q333" s="1863" t="str">
        <f>'Part II-Development Team'!Q88</f>
        <v>President</v>
      </c>
      <c r="R333" s="1914"/>
      <c r="S333" s="1914"/>
      <c r="Z333" s="1857">
        <v>88</v>
      </c>
    </row>
    <row r="334" spans="1:26" s="1856" customFormat="1" ht="11.25" customHeight="1">
      <c r="D334" s="1887"/>
      <c r="E334" s="1858" t="s">
        <v>588</v>
      </c>
      <c r="H334" s="1863" t="str">
        <f>'Part II-Development Team'!H89</f>
        <v>Atlanta</v>
      </c>
      <c r="I334" s="1914"/>
      <c r="J334" s="1914"/>
      <c r="K334" s="1879" t="s">
        <v>2553</v>
      </c>
      <c r="L334" s="1863" t="str">
        <f>'Part II-Development Team'!L89</f>
        <v>www.prestwickcompanies.com</v>
      </c>
      <c r="M334" s="1914"/>
      <c r="N334" s="1914"/>
      <c r="O334" s="1888" t="s">
        <v>1644</v>
      </c>
      <c r="P334" s="1863"/>
      <c r="Q334" s="1878">
        <f>'Part II-Development Team'!Q89</f>
        <v>4049493882</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303273100</v>
      </c>
      <c r="M335" s="1914"/>
      <c r="N335" s="1863"/>
      <c r="O335" s="1888" t="s">
        <v>1889</v>
      </c>
      <c r="P335" s="1863"/>
      <c r="Q335" s="1878">
        <f>'Part II-Development Team'!Q90</f>
        <v>4043761063</v>
      </c>
      <c r="R335" s="1878"/>
      <c r="S335" s="1878"/>
      <c r="Z335" s="1857">
        <v>90</v>
      </c>
    </row>
    <row r="336" spans="1:26" s="1856" customFormat="1" ht="11.25" customHeight="1">
      <c r="D336" s="1887"/>
      <c r="E336" s="1858" t="s">
        <v>3614</v>
      </c>
      <c r="H336" s="1878">
        <f>'Part II-Development Team'!H91</f>
        <v>4049493882</v>
      </c>
      <c r="I336" s="1878"/>
      <c r="J336" s="1918">
        <f>'Part II-Development Team'!J91</f>
        <v>0</v>
      </c>
      <c r="K336" s="1879" t="s">
        <v>1894</v>
      </c>
      <c r="L336" s="1872" t="str">
        <f>'Part II-Development Team'!L91</f>
        <v>Ray@prestwickcomapnies.com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Elmington Property Management</v>
      </c>
      <c r="I338" s="1914"/>
      <c r="J338" s="1914"/>
      <c r="K338" s="1914"/>
      <c r="L338" s="1914"/>
      <c r="M338" s="1914"/>
      <c r="N338" s="1914"/>
      <c r="O338" s="1888" t="s">
        <v>1899</v>
      </c>
      <c r="P338" s="1888"/>
      <c r="Q338" s="1863" t="str">
        <f>'Part II-Development Team'!Q93</f>
        <v>Brad Cather</v>
      </c>
      <c r="R338" s="1914"/>
      <c r="S338" s="1914"/>
      <c r="Z338" s="1868">
        <v>93</v>
      </c>
    </row>
    <row r="339" spans="2:26" s="1856" customFormat="1" ht="11.25" customHeight="1">
      <c r="D339" s="1887"/>
      <c r="E339" s="1858" t="s">
        <v>982</v>
      </c>
      <c r="F339" s="1860"/>
      <c r="H339" s="1863" t="str">
        <f>'Part II-Development Team'!H94</f>
        <v>118 16th Ave S #200</v>
      </c>
      <c r="I339" s="1914"/>
      <c r="J339" s="1914"/>
      <c r="K339" s="1914"/>
      <c r="L339" s="1914"/>
      <c r="M339" s="1914"/>
      <c r="N339" s="1914"/>
      <c r="O339" s="1888" t="s">
        <v>1668</v>
      </c>
      <c r="P339" s="1863"/>
      <c r="Q339" s="1863" t="str">
        <f>'Part II-Development Team'!Q94</f>
        <v>President</v>
      </c>
      <c r="R339" s="1914"/>
      <c r="S339" s="1914"/>
      <c r="Z339" s="1857">
        <v>94</v>
      </c>
    </row>
    <row r="340" spans="2:26" s="1856" customFormat="1" ht="11.25" customHeight="1">
      <c r="D340" s="1887"/>
      <c r="E340" s="1858" t="s">
        <v>588</v>
      </c>
      <c r="H340" s="1863" t="str">
        <f>'Part II-Development Team'!H95</f>
        <v>Nashville</v>
      </c>
      <c r="I340" s="1914"/>
      <c r="J340" s="1914"/>
      <c r="K340" s="1879" t="s">
        <v>2553</v>
      </c>
      <c r="L340" s="1863" t="str">
        <f>'Part II-Development Team'!L95</f>
        <v>www.oneelmington.com</v>
      </c>
      <c r="M340" s="1914"/>
      <c r="N340" s="1914"/>
      <c r="O340" s="1888" t="s">
        <v>1644</v>
      </c>
      <c r="P340" s="1863"/>
      <c r="Q340" s="1878">
        <f>'Part II-Development Team'!Q95</f>
        <v>6154906721</v>
      </c>
      <c r="R340" s="1878"/>
      <c r="S340" s="1878"/>
      <c r="Z340" s="1857">
        <v>95</v>
      </c>
    </row>
    <row r="341" spans="2:26" s="1856" customFormat="1" ht="11.25" customHeight="1">
      <c r="D341" s="1887"/>
      <c r="E341" s="1858" t="s">
        <v>1717</v>
      </c>
      <c r="H341" s="1888" t="str">
        <f>'Part II-Development Team'!H96</f>
        <v>TN</v>
      </c>
      <c r="I341" s="1863"/>
      <c r="J341" s="1863"/>
      <c r="K341" s="1879" t="s">
        <v>2128</v>
      </c>
      <c r="L341" s="1877">
        <f>'Part II-Development Team'!L96</f>
        <v>372033100</v>
      </c>
      <c r="M341" s="1914"/>
      <c r="N341" s="1863"/>
      <c r="O341" s="1888" t="s">
        <v>1889</v>
      </c>
      <c r="P341" s="1863"/>
      <c r="Q341" s="1878">
        <f>'Part II-Development Team'!Q96</f>
        <v>6159696667</v>
      </c>
      <c r="R341" s="1878"/>
      <c r="S341" s="1878"/>
      <c r="Z341" s="1857">
        <v>96</v>
      </c>
    </row>
    <row r="342" spans="2:26" s="1856" customFormat="1" ht="11.25" customHeight="1">
      <c r="D342" s="1887"/>
      <c r="E342" s="1858" t="s">
        <v>3614</v>
      </c>
      <c r="H342" s="1878">
        <f>'Part II-Development Team'!H97</f>
        <v>6154906700</v>
      </c>
      <c r="I342" s="1878"/>
      <c r="J342" s="1918">
        <f>'Part II-Development Team'!J97</f>
        <v>0</v>
      </c>
      <c r="K342" s="1879" t="s">
        <v>1894</v>
      </c>
      <c r="L342" s="1872" t="str">
        <f>'Part II-Development Team'!L97</f>
        <v>bcather@elmingtonpm.com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Arnall Golden Gregory</v>
      </c>
      <c r="I344" s="1914"/>
      <c r="J344" s="1914"/>
      <c r="K344" s="1914"/>
      <c r="L344" s="1914"/>
      <c r="M344" s="1914"/>
      <c r="N344" s="1914"/>
      <c r="O344" s="1888" t="s">
        <v>1899</v>
      </c>
      <c r="P344" s="1888"/>
      <c r="Q344" s="1863" t="str">
        <f>'Part II-Development Team'!Q99</f>
        <v>Jeff Adams</v>
      </c>
      <c r="R344" s="1914"/>
      <c r="S344" s="1914"/>
      <c r="Z344" s="1857">
        <v>99</v>
      </c>
    </row>
    <row r="345" spans="2:26" s="1856" customFormat="1" ht="11.25" customHeight="1">
      <c r="D345" s="1887"/>
      <c r="E345" s="1858" t="s">
        <v>982</v>
      </c>
      <c r="F345" s="1860"/>
      <c r="H345" s="1863" t="str">
        <f>'Part II-Development Team'!H100</f>
        <v>171 17th Street</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Atlanta</v>
      </c>
      <c r="I346" s="1914"/>
      <c r="J346" s="1914"/>
      <c r="K346" s="1879" t="s">
        <v>2553</v>
      </c>
      <c r="L346" s="1863" t="str">
        <f>'Part II-Development Team'!L101</f>
        <v>www.agg.com</v>
      </c>
      <c r="M346" s="1914"/>
      <c r="N346" s="1914"/>
      <c r="O346" s="1888" t="s">
        <v>1644</v>
      </c>
      <c r="P346" s="1863"/>
      <c r="Q346" s="1878">
        <f>'Part II-Development Team'!Q101</f>
        <v>4048737014</v>
      </c>
      <c r="R346" s="1878"/>
      <c r="S346" s="1878"/>
      <c r="Z346" s="1857">
        <v>101</v>
      </c>
    </row>
    <row r="347" spans="2:26" s="1856" customFormat="1" ht="11.25" customHeight="1">
      <c r="D347" s="1887"/>
      <c r="E347" s="1858" t="s">
        <v>1717</v>
      </c>
      <c r="H347" s="1888" t="str">
        <f>'Part II-Development Team'!H102</f>
        <v>GA</v>
      </c>
      <c r="I347" s="1863"/>
      <c r="J347" s="1863"/>
      <c r="K347" s="1879" t="s">
        <v>2128</v>
      </c>
      <c r="L347" s="1877">
        <f>'Part II-Development Team'!L102</f>
        <v>303631031</v>
      </c>
      <c r="M347" s="1914"/>
      <c r="N347" s="1863"/>
      <c r="O347" s="1888" t="s">
        <v>1889</v>
      </c>
      <c r="P347" s="1863"/>
      <c r="Q347" s="1878">
        <f>'Part II-Development Team'!Q102</f>
        <v>4042340004</v>
      </c>
      <c r="R347" s="1878"/>
      <c r="S347" s="1878"/>
      <c r="Z347" s="1868">
        <v>102</v>
      </c>
    </row>
    <row r="348" spans="2:26" s="1865" customFormat="1" ht="11.25" customHeight="1">
      <c r="E348" s="1858" t="s">
        <v>3614</v>
      </c>
      <c r="F348" s="1856"/>
      <c r="G348" s="1856"/>
      <c r="H348" s="1878">
        <f>'Part II-Development Team'!H103</f>
        <v>4048737014</v>
      </c>
      <c r="I348" s="1878"/>
      <c r="J348" s="1918">
        <f>'Part II-Development Team'!J103</f>
        <v>0</v>
      </c>
      <c r="K348" s="1879" t="s">
        <v>1894</v>
      </c>
      <c r="L348" s="1872" t="str">
        <f>'Part II-Development Team'!L103</f>
        <v>jeff.adams@agg.com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 Reznick</v>
      </c>
      <c r="I350" s="1914"/>
      <c r="J350" s="1914"/>
      <c r="K350" s="1914"/>
      <c r="L350" s="1914"/>
      <c r="M350" s="1914"/>
      <c r="N350" s="1914"/>
      <c r="O350" s="1888" t="s">
        <v>1899</v>
      </c>
      <c r="P350" s="1888"/>
      <c r="Q350" s="1863" t="str">
        <f>'Part II-Development Team'!Q105</f>
        <v>Julie McNulty</v>
      </c>
      <c r="R350" s="1914"/>
      <c r="S350" s="1914"/>
      <c r="Z350" s="1857">
        <v>105</v>
      </c>
    </row>
    <row r="351" spans="2:26" s="1856" customFormat="1" ht="11.25" customHeight="1">
      <c r="D351" s="1887"/>
      <c r="E351" s="1858" t="s">
        <v>982</v>
      </c>
      <c r="F351" s="1860"/>
      <c r="H351" s="1863" t="str">
        <f>'Part II-Development Team'!H106</f>
        <v>2560 Lenox Road, Suite 2800</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2553</v>
      </c>
      <c r="L352" s="1863" t="str">
        <f>'Part II-Development Team'!L107</f>
        <v>www.cohnreznick.com</v>
      </c>
      <c r="M352" s="1914"/>
      <c r="N352" s="1914"/>
      <c r="O352" s="1888" t="s">
        <v>1644</v>
      </c>
      <c r="P352" s="1863"/>
      <c r="Q352" s="1878">
        <f>'Part II-Development Team'!Q107</f>
        <v>4048479447</v>
      </c>
      <c r="R352" s="1878"/>
      <c r="S352" s="1878"/>
      <c r="Z352" s="1857">
        <v>107</v>
      </c>
    </row>
    <row r="353" spans="1:26" s="1856" customFormat="1" ht="11.25" customHeight="1">
      <c r="D353" s="1887"/>
      <c r="E353" s="1858" t="s">
        <v>1717</v>
      </c>
      <c r="H353" s="1888" t="str">
        <f>'Part II-Development Team'!H108</f>
        <v>GA</v>
      </c>
      <c r="I353" s="1863"/>
      <c r="J353" s="1863"/>
      <c r="K353" s="1879" t="s">
        <v>2128</v>
      </c>
      <c r="L353" s="1877">
        <f>'Part II-Development Team'!L108</f>
        <v>303264726</v>
      </c>
      <c r="M353" s="1914"/>
      <c r="N353" s="1863"/>
      <c r="O353" s="1888" t="s">
        <v>1889</v>
      </c>
      <c r="P353" s="1863"/>
      <c r="Q353" s="1878">
        <f>'Part II-Development Team'!Q108</f>
        <v>6785760400</v>
      </c>
      <c r="R353" s="1878"/>
      <c r="S353" s="1878"/>
      <c r="Z353" s="1857">
        <v>108</v>
      </c>
    </row>
    <row r="354" spans="1:26" s="1865" customFormat="1" ht="11.25" customHeight="1">
      <c r="E354" s="1858" t="s">
        <v>3614</v>
      </c>
      <c r="F354" s="1856"/>
      <c r="G354" s="1856"/>
      <c r="H354" s="1878">
        <f>'Part II-Development Team'!H109</f>
        <v>4048479447</v>
      </c>
      <c r="I354" s="1878"/>
      <c r="J354" s="1918">
        <f>'Part II-Development Team'!J109</f>
        <v>0</v>
      </c>
      <c r="K354" s="1879" t="s">
        <v>1894</v>
      </c>
      <c r="L354" s="1872" t="str">
        <f>'Part II-Development Team'!L109</f>
        <v>julie.mcnulty@cohnreznick.com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Geheber Lewis Associates LLC</v>
      </c>
      <c r="I356" s="1914"/>
      <c r="J356" s="1914"/>
      <c r="K356" s="1914"/>
      <c r="L356" s="1914"/>
      <c r="M356" s="1914"/>
      <c r="N356" s="1914"/>
      <c r="O356" s="1888" t="s">
        <v>1899</v>
      </c>
      <c r="P356" s="1888"/>
      <c r="Q356" s="1863" t="str">
        <f>'Part II-Development Team'!Q111</f>
        <v>Fred Geheber</v>
      </c>
      <c r="R356" s="1914"/>
      <c r="S356" s="1914"/>
      <c r="Z356" s="1868">
        <v>111</v>
      </c>
    </row>
    <row r="357" spans="1:26" s="1856" customFormat="1" ht="11.25" customHeight="1">
      <c r="D357" s="1887"/>
      <c r="E357" s="1858" t="s">
        <v>982</v>
      </c>
      <c r="F357" s="1860"/>
      <c r="H357" s="1863" t="str">
        <f>'Part II-Development Team'!H112</f>
        <v>643 11th Street</v>
      </c>
      <c r="I357" s="1914"/>
      <c r="J357" s="1914"/>
      <c r="K357" s="1914"/>
      <c r="L357" s="1914"/>
      <c r="M357" s="1914"/>
      <c r="N357" s="1914"/>
      <c r="O357" s="1888" t="s">
        <v>1668</v>
      </c>
      <c r="P357" s="1863"/>
      <c r="Q357" s="1863" t="str">
        <f>'Part II-Development Team'!Q112</f>
        <v>Partner</v>
      </c>
      <c r="R357" s="1914"/>
      <c r="S357" s="1914"/>
      <c r="Z357" s="1857">
        <v>112</v>
      </c>
    </row>
    <row r="358" spans="1:26" s="1856" customFormat="1" ht="11.25" customHeight="1">
      <c r="D358" s="1887"/>
      <c r="E358" s="1858" t="s">
        <v>588</v>
      </c>
      <c r="H358" s="1863" t="str">
        <f>'Part II-Development Team'!H113</f>
        <v>Atlanta</v>
      </c>
      <c r="I358" s="1914"/>
      <c r="J358" s="1914"/>
      <c r="K358" s="1879" t="s">
        <v>2553</v>
      </c>
      <c r="L358" s="1863" t="str">
        <f>'Part II-Development Team'!L113</f>
        <v>www.glatl.com</v>
      </c>
      <c r="M358" s="1914"/>
      <c r="N358" s="1914"/>
      <c r="O358" s="1888" t="s">
        <v>1644</v>
      </c>
      <c r="P358" s="1863"/>
      <c r="Q358" s="1878">
        <f>'Part II-Development Team'!Q113</f>
        <v>4042281958</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303185419</v>
      </c>
      <c r="M359" s="1914"/>
      <c r="N359" s="1863"/>
      <c r="O359" s="1888" t="s">
        <v>1889</v>
      </c>
      <c r="P359" s="1863"/>
      <c r="Q359" s="1878">
        <f>'Part II-Development Team'!Q114</f>
        <v>4047979944</v>
      </c>
      <c r="R359" s="1878"/>
      <c r="S359" s="1878"/>
      <c r="Z359" s="1857">
        <v>114</v>
      </c>
    </row>
    <row r="360" spans="1:26" s="1856" customFormat="1" ht="11.25" customHeight="1">
      <c r="D360" s="1887"/>
      <c r="E360" s="1858" t="s">
        <v>3614</v>
      </c>
      <c r="H360" s="1878">
        <f>'Part II-Development Team'!H115</f>
        <v>4042281958</v>
      </c>
      <c r="I360" s="1878"/>
      <c r="J360" s="1918">
        <f>'Part II-Development Team'!J115</f>
        <v>0</v>
      </c>
      <c r="K360" s="1879" t="s">
        <v>1894</v>
      </c>
      <c r="L360" s="1872" t="str">
        <f>'Part II-Development Team'!L115</f>
        <v>fgeheber@glaatl.com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7027</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7094</v>
      </c>
      <c r="H365" s="1863" t="str">
        <f>'Part II-Development Team'!H120</f>
        <v>SEI Development LLC</v>
      </c>
      <c r="I365" s="1863"/>
      <c r="J365" s="1863"/>
      <c r="K365" s="1879" t="s">
        <v>1716</v>
      </c>
      <c r="L365" s="1863" t="str">
        <f>'Part II-Development Team'!L120</f>
        <v>Josh Wheeler</v>
      </c>
      <c r="M365" s="1914"/>
      <c r="N365" s="1914"/>
      <c r="O365" s="1888" t="s">
        <v>3261</v>
      </c>
      <c r="P365" s="1863"/>
      <c r="Q365" s="1878">
        <f>'Part II-Development Team'!Q120</f>
        <v>9122711313</v>
      </c>
      <c r="R365" s="1964"/>
      <c r="S365" s="1964"/>
      <c r="Z365" s="1857">
        <v>120</v>
      </c>
    </row>
    <row r="366" spans="1:26" s="1856" customFormat="1" ht="11.25" customHeight="1">
      <c r="D366" s="1887"/>
      <c r="E366" s="1858" t="s">
        <v>6487</v>
      </c>
      <c r="F366" s="1860"/>
      <c r="H366" s="1863" t="str">
        <f>'Part II-Development Team'!H121</f>
        <v>105 East Hendry Street</v>
      </c>
      <c r="I366" s="1914"/>
      <c r="J366" s="1914"/>
      <c r="K366" s="1914"/>
      <c r="L366" s="1914"/>
      <c r="M366" s="1914"/>
      <c r="N366" s="1914"/>
      <c r="O366" s="1888" t="s">
        <v>588</v>
      </c>
      <c r="P366" s="1863"/>
      <c r="Q366" s="1863" t="str">
        <f>'Part II-Development Team'!Q121</f>
        <v>Hinesville</v>
      </c>
      <c r="R366" s="1914"/>
      <c r="S366" s="1914"/>
      <c r="Z366" s="1857">
        <v>121</v>
      </c>
    </row>
    <row r="367" spans="1:26" s="1856" customFormat="1">
      <c r="D367" s="1887"/>
      <c r="E367" s="1858" t="s">
        <v>1717</v>
      </c>
      <c r="H367" s="1888" t="str">
        <f>'Part II-Development Team'!H122</f>
        <v>GA</v>
      </c>
      <c r="I367" s="1879" t="s">
        <v>2128</v>
      </c>
      <c r="J367" s="1877">
        <f>'Part II-Development Team'!J122</f>
        <v>313133638</v>
      </c>
      <c r="K367" s="1914"/>
      <c r="L367" s="1879" t="s">
        <v>1894</v>
      </c>
      <c r="M367" s="1872" t="str">
        <f>'Part II-Development Team'!M122</f>
        <v>JoshWheeler@kw.com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7095</v>
      </c>
      <c r="H369" s="1863">
        <f>'Part II-Development Team'!H124</f>
        <v>0</v>
      </c>
      <c r="I369" s="1863"/>
      <c r="J369" s="1863"/>
      <c r="K369" s="1879" t="s">
        <v>1716</v>
      </c>
      <c r="L369" s="1863">
        <f>'Part II-Development Team'!L124</f>
        <v>0</v>
      </c>
      <c r="M369" s="1914"/>
      <c r="N369" s="1914"/>
      <c r="O369" s="1888" t="s">
        <v>3261</v>
      </c>
      <c r="P369" s="1863"/>
      <c r="Q369" s="1878">
        <f>'Part II-Development Team'!Q124</f>
        <v>0</v>
      </c>
      <c r="R369" s="1964"/>
      <c r="S369" s="1964"/>
      <c r="Z369" s="1857">
        <v>124</v>
      </c>
    </row>
    <row r="370" spans="3:26" s="1856" customFormat="1">
      <c r="D370" s="1887"/>
      <c r="E370" s="1858" t="s">
        <v>6487</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7028</v>
      </c>
      <c r="H373" s="1863">
        <f>'Part II-Development Team'!H128</f>
        <v>0</v>
      </c>
      <c r="I373" s="1863"/>
      <c r="J373" s="1863"/>
      <c r="K373" s="1879" t="s">
        <v>1716</v>
      </c>
      <c r="L373" s="1863">
        <f>'Part II-Development Team'!L128</f>
        <v>0</v>
      </c>
      <c r="M373" s="1914"/>
      <c r="N373" s="1914"/>
      <c r="O373" s="1888" t="s">
        <v>3261</v>
      </c>
      <c r="P373" s="1863"/>
      <c r="Q373" s="1878">
        <f>'Part II-Development Team'!Q128</f>
        <v>0</v>
      </c>
      <c r="R373" s="1964"/>
      <c r="S373" s="1964"/>
      <c r="Z373" s="1857">
        <v>128</v>
      </c>
    </row>
    <row r="374" spans="3:26" s="1856" customFormat="1">
      <c r="D374" s="1887"/>
      <c r="E374" s="1858" t="s">
        <v>6487</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7096</v>
      </c>
      <c r="H377" s="1863">
        <f>'Part II-Development Team'!H132</f>
        <v>0</v>
      </c>
      <c r="I377" s="1863"/>
      <c r="J377" s="1863"/>
      <c r="K377" s="1879" t="s">
        <v>1716</v>
      </c>
      <c r="L377" s="1863">
        <f>'Part II-Development Team'!L132</f>
        <v>0</v>
      </c>
      <c r="M377" s="1914"/>
      <c r="N377" s="1914"/>
      <c r="O377" s="1888" t="s">
        <v>3261</v>
      </c>
      <c r="P377" s="1863"/>
      <c r="Q377" s="1878">
        <f>'Part II-Development Team'!Q132</f>
        <v>0</v>
      </c>
      <c r="R377" s="1964"/>
      <c r="S377" s="1964"/>
      <c r="Z377" s="1857">
        <v>132</v>
      </c>
    </row>
    <row r="378" spans="3:26" s="1856" customFormat="1">
      <c r="D378" s="1887"/>
      <c r="E378" s="1858" t="s">
        <v>6487</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7029</v>
      </c>
      <c r="H381" s="1863">
        <f>'Part II-Development Team'!H136</f>
        <v>0</v>
      </c>
      <c r="I381" s="1863"/>
      <c r="J381" s="1863"/>
      <c r="K381" s="1879" t="s">
        <v>1716</v>
      </c>
      <c r="L381" s="1863">
        <f>'Part II-Development Team'!L136</f>
        <v>0</v>
      </c>
      <c r="M381" s="1914"/>
      <c r="N381" s="1914"/>
      <c r="O381" s="1888" t="s">
        <v>3261</v>
      </c>
      <c r="P381" s="1863"/>
      <c r="Q381" s="1878">
        <f>'Part II-Development Team'!Q136</f>
        <v>0</v>
      </c>
      <c r="R381" s="1964"/>
      <c r="S381" s="1964"/>
      <c r="Z381" s="1868">
        <v>136</v>
      </c>
    </row>
    <row r="382" spans="3:26" s="1856" customFormat="1">
      <c r="D382" s="1887"/>
      <c r="E382" s="1858" t="s">
        <v>6487</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7097</v>
      </c>
      <c r="H385" s="1863">
        <f>'Part II-Development Team'!H140</f>
        <v>0</v>
      </c>
      <c r="I385" s="1863"/>
      <c r="J385" s="1863"/>
      <c r="K385" s="1879" t="s">
        <v>1716</v>
      </c>
      <c r="L385" s="1863">
        <f>'Part II-Development Team'!L140</f>
        <v>0</v>
      </c>
      <c r="M385" s="1914"/>
      <c r="N385" s="1914"/>
      <c r="O385" s="1888" t="s">
        <v>3261</v>
      </c>
      <c r="P385" s="1863"/>
      <c r="Q385" s="1878">
        <f>'Part II-Development Team'!Q140</f>
        <v>0</v>
      </c>
      <c r="R385" s="1964"/>
      <c r="S385" s="1964"/>
      <c r="Z385" s="1857">
        <v>140</v>
      </c>
    </row>
    <row r="386" spans="1:26" s="1856" customFormat="1">
      <c r="D386" s="1887"/>
      <c r="E386" s="1858" t="s">
        <v>6487</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7030</v>
      </c>
      <c r="H389" s="1863">
        <f>'Part II-Development Team'!H144</f>
        <v>0</v>
      </c>
      <c r="I389" s="1863"/>
      <c r="J389" s="1863"/>
      <c r="K389" s="1879" t="s">
        <v>1716</v>
      </c>
      <c r="L389" s="1863">
        <f>'Part II-Development Team'!L144</f>
        <v>0</v>
      </c>
      <c r="M389" s="1914"/>
      <c r="N389" s="1914"/>
      <c r="O389" s="1888" t="s">
        <v>3261</v>
      </c>
      <c r="P389" s="1863"/>
      <c r="Q389" s="1878">
        <f>'Part II-Development Team'!Q144</f>
        <v>0</v>
      </c>
      <c r="R389" s="1964"/>
      <c r="S389" s="1964"/>
      <c r="Z389" s="1857">
        <v>144</v>
      </c>
    </row>
    <row r="390" spans="1:26" s="1856" customFormat="1" ht="11.25" customHeight="1">
      <c r="D390" s="1887"/>
      <c r="E390" s="1858" t="s">
        <v>6487</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7031</v>
      </c>
      <c r="H393" s="1863">
        <f>'Part II-Development Team'!H148</f>
        <v>0</v>
      </c>
      <c r="I393" s="1863"/>
      <c r="J393" s="1863"/>
      <c r="K393" s="1879" t="s">
        <v>1716</v>
      </c>
      <c r="L393" s="1863">
        <f>'Part II-Development Team'!L148</f>
        <v>0</v>
      </c>
      <c r="M393" s="1914"/>
      <c r="N393" s="1914"/>
      <c r="O393" s="1888" t="s">
        <v>3261</v>
      </c>
      <c r="P393" s="1863"/>
      <c r="Q393" s="1878">
        <f>'Part II-Development Team'!Q148</f>
        <v>0</v>
      </c>
      <c r="R393" s="1964"/>
      <c r="S393" s="1964"/>
      <c r="Z393" s="1857">
        <v>148</v>
      </c>
    </row>
    <row r="394" spans="1:26" s="1856" customFormat="1" ht="11.25" customHeight="1">
      <c r="D394" s="1887"/>
      <c r="E394" s="1858" t="s">
        <v>6487</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2392</v>
      </c>
      <c r="I398" s="1863" t="s">
        <v>6796</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6485</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Yes</v>
      </c>
      <c r="I403" s="1951" t="str">
        <f>'Part II-Development Team'!I158</f>
        <v>Members of Other GP #2 and Co-Developer are also members of Syndicator</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4074</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4073</v>
      </c>
      <c r="C407" s="1854" t="str">
        <f>+'Part II-Development Team'!C162</f>
        <v>Other (Indicate the 2 roles involved)</v>
      </c>
      <c r="D407" s="1854"/>
      <c r="E407" s="1854"/>
      <c r="F407" s="1854"/>
      <c r="G407" s="1854"/>
      <c r="H407" s="1966" t="str">
        <f>'Part II-Development Team'!H162</f>
        <v>No</v>
      </c>
      <c r="I407" s="1951">
        <f>'Part II-Development Team'!I162</f>
        <v>0</v>
      </c>
      <c r="J407" s="1951"/>
      <c r="K407" s="1951"/>
      <c r="L407" s="1951"/>
      <c r="M407" s="1951"/>
      <c r="N407" s="1951"/>
      <c r="O407" s="1951"/>
      <c r="P407" s="1951"/>
      <c r="Q407" s="1951"/>
      <c r="R407" s="1951"/>
      <c r="S407" s="1951"/>
      <c r="Z407" s="1857">
        <v>162</v>
      </c>
    </row>
    <row r="408" spans="1:26" s="1856" customFormat="1" ht="13.35" customHeight="1">
      <c r="A408" s="1856" t="s">
        <v>1711</v>
      </c>
      <c r="B408" s="1856" t="s">
        <v>7098</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7032</v>
      </c>
      <c r="L411" s="1907" t="s">
        <v>7033</v>
      </c>
      <c r="M411" s="1905" t="s">
        <v>7034</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7099</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Yes</v>
      </c>
      <c r="N416" s="1951" t="str">
        <f>'Part II-Development Team'!N171</f>
        <v>Members of this LLC are the two GP1 and GP2 entities. Members of GP1 and GP2 are also members of development entities.</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No</v>
      </c>
      <c r="J417" s="1966" t="str">
        <f>'Part II-Development Team'!J172</f>
        <v>No</v>
      </c>
      <c r="K417" s="1969" t="str">
        <f>'Part II-Development Team'!K172</f>
        <v>For Profit</v>
      </c>
      <c r="L417" s="1970">
        <f>'Part II-Development Team'!L172</f>
        <v>0</v>
      </c>
      <c r="M417" s="1966" t="str">
        <f>'Part II-Development Team'!M172</f>
        <v>Yes</v>
      </c>
      <c r="N417" s="1951" t="str">
        <f>'Part II-Development Team'!N172</f>
        <v>Members of the Other GP #1 entity are also memebrs of the developer</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No</v>
      </c>
      <c r="J418" s="1966" t="str">
        <f>'Part II-Development Team'!J173</f>
        <v>No</v>
      </c>
      <c r="K418" s="1969" t="str">
        <f>'Part II-Development Team'!K173</f>
        <v>For Profit</v>
      </c>
      <c r="L418" s="1970">
        <f>'Part II-Development Team'!L173</f>
        <v>0</v>
      </c>
      <c r="M418" s="1966" t="str">
        <f>'Part II-Development Team'!M173</f>
        <v>Yes</v>
      </c>
      <c r="N418" s="1951" t="str">
        <f>'Part II-Development Team'!N173</f>
        <v>Members of the Other GP #2 entity are also members of the co-developer and syndicator entity</v>
      </c>
      <c r="O418" s="1951"/>
      <c r="P418" s="1951"/>
      <c r="Q418" s="1951"/>
      <c r="R418" s="1951"/>
      <c r="S418" s="1951"/>
      <c r="U418" s="1855"/>
      <c r="V418" s="1855"/>
      <c r="Z418" s="1857">
        <v>173</v>
      </c>
    </row>
    <row r="419" spans="1:26" s="1856" customFormat="1" ht="23.25" customHeight="1">
      <c r="A419" s="1905" t="s">
        <v>3182</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Members of the Developer Entoty are also members of the Other GP entity</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No</v>
      </c>
      <c r="J423" s="1966" t="str">
        <f>'Part II-Development Team'!J178</f>
        <v>No</v>
      </c>
      <c r="K423" s="1969" t="str">
        <f>'Part II-Development Team'!K178</f>
        <v>For Profit</v>
      </c>
      <c r="L423" s="1970">
        <f>'Part II-Development Team'!L178</f>
        <v>0</v>
      </c>
      <c r="M423" s="1966" t="str">
        <f>'Part II-Development Team'!M178</f>
        <v>Yes</v>
      </c>
      <c r="N423" s="1951" t="str">
        <f>'Part II-Development Team'!N178</f>
        <v>Members of the Co-Developer Entity are also members of the  Other GP entity and syndicator entity</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Yes</v>
      </c>
      <c r="N427" s="1951" t="str">
        <f>'Part II-Development Team'!N182</f>
        <v>A member of development entity 1 is a member of the contractor.</v>
      </c>
      <c r="O427" s="1951"/>
      <c r="P427" s="1951"/>
      <c r="Q427" s="1951"/>
      <c r="R427" s="1951"/>
      <c r="S427" s="1951"/>
      <c r="Z427" s="1857">
        <v>182</v>
      </c>
    </row>
    <row r="428" spans="1:26" s="1856" customFormat="1" ht="23.25" customHeight="1">
      <c r="A428" s="1905" t="s">
        <v>2689</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Identity of Interest for the contractor: Kenneth Blankenship is currently a member of Talon Development LLC and a member of Prestwick Construction Company LLC. Blankenship retired from Prestwick Development Company LLC effective 12/31/2020 and is no longer a member of Prestwick Development Company LLC. The intention of all Prestwick partners was for Blankenship to retire from Prestwick Construction Company LLC effective on the same date, however, that has been delayed until September 30th, 2021. We are disclosing this IOI as of the date of this application submission, however, we fully expect the IOI to terminate on September 30th, 2021. 
Please note that the address on the Direct Tax Credits website is in the process of being updated. The address provided above is correct.</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2021-041 Hunters Haven, Flemington, Liberty County</v>
      </c>
      <c r="B436" s="1856"/>
      <c r="C436" s="1856"/>
      <c r="D436" s="1856"/>
      <c r="E436" s="1856"/>
      <c r="F436" s="1856"/>
      <c r="G436" s="1856"/>
      <c r="H436" s="1856"/>
      <c r="I436" s="1856"/>
      <c r="J436" s="1856"/>
      <c r="K436" s="1856"/>
      <c r="L436" s="1856"/>
      <c r="M436" s="1856"/>
      <c r="N436" s="1856"/>
      <c r="O436" s="1856"/>
      <c r="P436" s="1856"/>
      <c r="Q436" s="1856"/>
      <c r="S436" s="1875" t="str">
        <f>$A$2</f>
        <v>Hunters Haven</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6290</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4058</v>
      </c>
      <c r="D441" s="1856"/>
      <c r="E441" s="1879" t="str">
        <f>'Part III-Sources of Funds'!E7</f>
        <v>No</v>
      </c>
      <c r="F441" s="1859" t="s">
        <v>6291</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6292</v>
      </c>
      <c r="H442" s="1869" t="str">
        <f>'Part III-Sources of Funds'!H8</f>
        <v>Specify Other HOME Source here</v>
      </c>
      <c r="I442" s="1869"/>
      <c r="J442" s="1869"/>
      <c r="L442" s="1879" t="str">
        <f>'Part III-Sources of Funds'!L8</f>
        <v>No</v>
      </c>
      <c r="M442" s="1859" t="s">
        <v>3275</v>
      </c>
      <c r="P442" s="1890"/>
      <c r="Q442" s="1890"/>
      <c r="S442" s="1956"/>
      <c r="T442" s="1956"/>
      <c r="Y442" s="1972"/>
      <c r="Z442" s="1857">
        <v>8</v>
      </c>
      <c r="AZ442" s="1972"/>
    </row>
    <row r="443" spans="1:52" s="1875" customFormat="1" ht="16.5" customHeight="1">
      <c r="A443" s="1857"/>
      <c r="B443" s="1879" t="str">
        <f>'Part III-Sources of Funds'!B9</f>
        <v>No</v>
      </c>
      <c r="C443" s="1875" t="s">
        <v>3440</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4059</v>
      </c>
      <c r="Q443" s="1890"/>
      <c r="S443" s="1956"/>
      <c r="T443" s="1956"/>
      <c r="Y443" s="1972"/>
      <c r="Z443" s="1857">
        <v>9</v>
      </c>
      <c r="AZ443" s="1972"/>
    </row>
    <row r="444" spans="1:52" s="1875" customFormat="1" ht="16.5" customHeight="1">
      <c r="A444" s="1857"/>
      <c r="B444" s="1879" t="str">
        <f>'Part III-Sources of Funds'!B10</f>
        <v>No</v>
      </c>
      <c r="C444" s="1859" t="s">
        <v>2481</v>
      </c>
      <c r="F444" s="1869" t="str">
        <f>'Part III-Sources of Funds'!F10</f>
        <v>Specify Source/Administrator of Other FEDERAL Funding here</v>
      </c>
      <c r="G444" s="1869"/>
      <c r="H444" s="1869"/>
      <c r="I444" s="1869"/>
      <c r="J444" s="1869"/>
      <c r="L444" s="1879" t="str">
        <f>'Part III-Sources of Funds'!L10</f>
        <v>No</v>
      </c>
      <c r="M444" s="1859" t="s">
        <v>3318</v>
      </c>
      <c r="P444" s="1890"/>
      <c r="Q444" s="1890"/>
      <c r="S444" s="1956"/>
      <c r="T444" s="1956"/>
      <c r="Y444" s="1972"/>
      <c r="Z444" s="1868">
        <v>10</v>
      </c>
      <c r="AZ444" s="1972"/>
    </row>
    <row r="445" spans="1:52" s="1875" customFormat="1" ht="16.5" customHeight="1">
      <c r="A445" s="1857"/>
      <c r="B445" s="1879" t="str">
        <f>'Part III-Sources of Funds'!B11</f>
        <v>No</v>
      </c>
      <c r="C445" s="1859" t="s">
        <v>2482</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2486</v>
      </c>
      <c r="S445" s="1956"/>
      <c r="T445" s="1956"/>
      <c r="Y445" s="1972"/>
      <c r="Z445" s="1857">
        <v>11</v>
      </c>
      <c r="AZ445" s="1972"/>
    </row>
    <row r="446" spans="1:52" s="1875" customFormat="1" ht="16.5" customHeight="1">
      <c r="A446" s="1857"/>
      <c r="B446" s="1879" t="str">
        <f>'Part III-Sources of Funds'!B12</f>
        <v>No</v>
      </c>
      <c r="C446" s="1859" t="s">
        <v>3321</v>
      </c>
      <c r="F446" s="1869" t="str">
        <f>'Part III-Sources of Funds'!F12</f>
        <v>Specify Source/Administrator of Other STATE/LOCAL Funding here</v>
      </c>
      <c r="G446" s="1869"/>
      <c r="H446" s="1869"/>
      <c r="I446" s="1869"/>
      <c r="J446" s="1869"/>
      <c r="L446" s="1879" t="str">
        <f>'Part III-Sources of Funds'!L12</f>
        <v>No</v>
      </c>
      <c r="M446" s="1875" t="s">
        <v>3351</v>
      </c>
      <c r="S446" s="1956"/>
      <c r="T446" s="1956"/>
      <c r="Y446" s="1972"/>
      <c r="Z446" s="1857">
        <v>12</v>
      </c>
      <c r="AZ446" s="1972"/>
    </row>
    <row r="447" spans="1:52" s="1875" customFormat="1" ht="16.5" customHeight="1">
      <c r="A447" s="1857"/>
      <c r="B447" s="1879" t="str">
        <f>'Part III-Sources of Funds'!B13</f>
        <v>No</v>
      </c>
      <c r="C447" s="1859" t="s">
        <v>2485</v>
      </c>
      <c r="E447" s="1879" t="str">
        <f>'Part III-Sources of Funds'!E13</f>
        <v>No</v>
      </c>
      <c r="F447" s="1859" t="s">
        <v>3350</v>
      </c>
      <c r="H447" s="1869" t="str">
        <f>'Part III-Sources of Funds'!H13</f>
        <v>Specify Other PBRA Source here</v>
      </c>
      <c r="I447" s="1869"/>
      <c r="J447" s="1869"/>
      <c r="L447" s="1879" t="str">
        <f>'Part III-Sources of Funds'!L13</f>
        <v>No</v>
      </c>
      <c r="M447" s="1875" t="s">
        <v>6289</v>
      </c>
      <c r="S447" s="1956"/>
      <c r="T447" s="1956"/>
      <c r="Y447" s="1972"/>
      <c r="Z447" s="1857">
        <v>13</v>
      </c>
      <c r="AZ447" s="1972"/>
    </row>
    <row r="448" spans="1:52" s="1875" customFormat="1" ht="16.5" customHeight="1">
      <c r="A448" s="1857"/>
      <c r="B448" s="1879" t="str">
        <f>'Part III-Sources of Funds'!B14</f>
        <v>No</v>
      </c>
      <c r="C448" s="1875" t="s">
        <v>2484</v>
      </c>
      <c r="E448" s="1879" t="str">
        <f>'Part III-Sources of Funds'!E14</f>
        <v>No</v>
      </c>
      <c r="F448" s="1859" t="s">
        <v>3439</v>
      </c>
      <c r="L448" s="1879" t="str">
        <f>'Part III-Sources of Funds'!L14</f>
        <v>No</v>
      </c>
      <c r="M448" s="1875" t="s">
        <v>6535</v>
      </c>
      <c r="S448" s="1956"/>
      <c r="T448" s="1956"/>
      <c r="Y448" s="1972"/>
      <c r="Z448" s="1857">
        <v>14</v>
      </c>
      <c r="AZ448" s="1972"/>
    </row>
    <row r="449" spans="1:52" s="1875" customFormat="1" ht="16.5" customHeight="1">
      <c r="A449" s="1857"/>
      <c r="B449" s="1879" t="str">
        <f>'Part III-Sources of Funds'!B15</f>
        <v>No</v>
      </c>
      <c r="C449" s="1875" t="s">
        <v>3349</v>
      </c>
      <c r="E449" s="1879" t="str">
        <f>'Part III-Sources of Funds'!E15</f>
        <v>No</v>
      </c>
      <c r="F449" s="1859" t="s">
        <v>6293</v>
      </c>
      <c r="L449" s="1879" t="str">
        <f>'Part III-Sources of Funds'!L15</f>
        <v>No</v>
      </c>
      <c r="M449" s="1890" t="s">
        <v>6294</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6288</v>
      </c>
      <c r="Y450" s="1972"/>
      <c r="Z450" s="1857">
        <v>16</v>
      </c>
      <c r="AZ450" s="1972"/>
    </row>
    <row r="451" spans="1:52" s="1875" customFormat="1" ht="17.100000000000001" customHeight="1">
      <c r="A451" s="1857"/>
      <c r="B451" s="1875" t="s">
        <v>4060</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4023</v>
      </c>
      <c r="M455" s="1856"/>
      <c r="N455" s="1856" t="s">
        <v>1446</v>
      </c>
      <c r="O455" s="1856"/>
      <c r="P455" s="1856" t="s">
        <v>1564</v>
      </c>
      <c r="Q455" s="1856"/>
      <c r="S455" s="1852" t="s">
        <v>2537</v>
      </c>
      <c r="T455" s="1852"/>
      <c r="Y455" s="1972"/>
      <c r="Z455" s="1857">
        <v>21</v>
      </c>
      <c r="AZ455" s="1972" t="s">
        <v>6653</v>
      </c>
    </row>
    <row r="456" spans="1:52" s="1875" customFormat="1" ht="15.75" customHeight="1">
      <c r="A456" s="1856"/>
      <c r="B456" s="1856" t="s">
        <v>1525</v>
      </c>
      <c r="C456" s="1856"/>
      <c r="D456" s="1856"/>
      <c r="E456" s="1856"/>
      <c r="F456" s="1856"/>
      <c r="G456" s="1856"/>
      <c r="H456" s="1863" t="str">
        <f>'Part III-Sources of Funds'!H22</f>
        <v>Truist Bank</v>
      </c>
      <c r="I456" s="1863"/>
      <c r="J456" s="1863"/>
      <c r="K456" s="1863"/>
      <c r="L456" s="1871">
        <f>'Part III-Sources of Funds'!L22</f>
        <v>10770000</v>
      </c>
      <c r="M456" s="1871"/>
      <c r="N456" s="1977">
        <f>'Part III-Sources of Funds'!N22</f>
        <v>4.4999999999999998E-2</v>
      </c>
      <c r="O456" s="1977"/>
      <c r="P456" s="1978">
        <f>'Part III-Sources of Funds'!P22</f>
        <v>24</v>
      </c>
      <c r="Q456" s="1978"/>
      <c r="S456" s="1956"/>
      <c r="T456" s="1956"/>
      <c r="Y456" s="1972" t="s">
        <v>6653</v>
      </c>
      <c r="Z456" s="1857">
        <v>22</v>
      </c>
      <c r="AZ456" s="1972" t="s">
        <v>6654</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6654</v>
      </c>
      <c r="Z457" s="1857">
        <v>23</v>
      </c>
      <c r="AZ457" s="1972" t="s">
        <v>6655</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6655</v>
      </c>
      <c r="Z458" s="1857">
        <v>24</v>
      </c>
      <c r="AZ458" s="1972" t="s">
        <v>6656</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6656</v>
      </c>
      <c r="Z459" s="1857">
        <v>25</v>
      </c>
      <c r="AZ459" s="1972" t="s">
        <v>6657</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6657</v>
      </c>
      <c r="Z460" s="1868">
        <v>26</v>
      </c>
      <c r="AZ460" s="1972" t="s">
        <v>6658</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6658</v>
      </c>
      <c r="Z461" s="1857">
        <v>27</v>
      </c>
      <c r="AZ461" s="1972" t="s">
        <v>6659</v>
      </c>
    </row>
    <row r="462" spans="1:52" s="1875" customFormat="1" ht="15.75" customHeight="1">
      <c r="A462" s="1856"/>
      <c r="B462" s="1856" t="s">
        <v>769</v>
      </c>
      <c r="C462" s="1856"/>
      <c r="D462" s="1856"/>
      <c r="E462" s="1856"/>
      <c r="H462" s="1863" t="str">
        <f>'Part III-Sources of Funds'!H28</f>
        <v>Direct Tax Credits (fund name TBD)</v>
      </c>
      <c r="I462" s="1863"/>
      <c r="J462" s="1863"/>
      <c r="K462" s="1863"/>
      <c r="L462" s="1871">
        <f>'Part III-Sources of Funds'!L28</f>
        <v>5524448</v>
      </c>
      <c r="M462" s="1871"/>
      <c r="N462" s="1856"/>
      <c r="Q462" s="1856"/>
      <c r="S462" s="1956"/>
      <c r="T462" s="1956"/>
      <c r="Y462" s="1972" t="s">
        <v>6659</v>
      </c>
      <c r="Z462" s="1857">
        <v>28</v>
      </c>
      <c r="AZ462" s="1972" t="s">
        <v>6660</v>
      </c>
    </row>
    <row r="463" spans="1:52" s="1875" customFormat="1" ht="15.75" customHeight="1">
      <c r="A463" s="1856"/>
      <c r="B463" s="1856" t="s">
        <v>770</v>
      </c>
      <c r="C463" s="1856"/>
      <c r="D463" s="1856"/>
      <c r="E463" s="1856"/>
      <c r="H463" s="1863" t="str">
        <f>'Part III-Sources of Funds'!H29</f>
        <v>Direct Tax Credits (fund name TBD)</v>
      </c>
      <c r="I463" s="1863"/>
      <c r="J463" s="1863"/>
      <c r="K463" s="1863"/>
      <c r="L463" s="1871">
        <f>'Part III-Sources of Funds'!L29</f>
        <v>3250000</v>
      </c>
      <c r="M463" s="1871"/>
      <c r="N463" s="1856"/>
      <c r="Q463" s="1856"/>
      <c r="S463" s="1956"/>
      <c r="T463" s="1956"/>
      <c r="Y463" s="1972" t="s">
        <v>6660</v>
      </c>
      <c r="Z463" s="1857">
        <v>29</v>
      </c>
      <c r="AZ463" s="1972" t="s">
        <v>6661</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6661</v>
      </c>
      <c r="Z464" s="1857">
        <v>30</v>
      </c>
      <c r="AZ464" s="1972" t="s">
        <v>6662</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6662</v>
      </c>
      <c r="Z465" s="1857">
        <v>31</v>
      </c>
      <c r="AZ465" s="1972" t="s">
        <v>6663</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6663</v>
      </c>
      <c r="Z466" s="1857">
        <v>32</v>
      </c>
      <c r="AZ466" s="1972"/>
    </row>
    <row r="467" spans="1:52" s="1875" customFormat="1" ht="16.5" customHeight="1">
      <c r="A467" s="1856"/>
      <c r="B467" s="1858" t="s">
        <v>1250</v>
      </c>
      <c r="C467" s="1856"/>
      <c r="D467" s="1856"/>
      <c r="E467" s="1856"/>
      <c r="F467" s="1856"/>
      <c r="G467" s="1856"/>
      <c r="H467" s="1856"/>
      <c r="I467" s="1856"/>
      <c r="L467" s="1980">
        <f>SUM(L456:L466)</f>
        <v>19544448</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13510960.43</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6033487.5700000003</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4022</v>
      </c>
      <c r="J473" s="1856"/>
      <c r="K473" s="1857" t="s">
        <v>1722</v>
      </c>
      <c r="L473" s="1857" t="s">
        <v>2113</v>
      </c>
      <c r="M473" s="1857" t="s">
        <v>2113</v>
      </c>
      <c r="N473" s="1856" t="s">
        <v>69</v>
      </c>
      <c r="O473" s="1856"/>
      <c r="P473" s="1874"/>
      <c r="Q473" s="1874"/>
      <c r="S473" s="1852" t="s">
        <v>2537</v>
      </c>
      <c r="T473" s="1852"/>
      <c r="Y473" s="1972"/>
      <c r="Z473" s="1857">
        <v>39</v>
      </c>
      <c r="AZ473" s="1972" t="s">
        <v>6664</v>
      </c>
    </row>
    <row r="474" spans="1:52" s="1875" customFormat="1" ht="15.75" customHeight="1">
      <c r="A474" s="1856"/>
      <c r="B474" s="1856" t="s">
        <v>2490</v>
      </c>
      <c r="C474" s="1856"/>
      <c r="D474" s="1856"/>
      <c r="E474" s="1863" t="str">
        <f>'Part III-Sources of Funds'!E40</f>
        <v>Bellwether Enterprise</v>
      </c>
      <c r="F474" s="1863"/>
      <c r="G474" s="1863"/>
      <c r="H474" s="1863"/>
      <c r="I474" s="1894">
        <f>'Part III-Sources of Funds'!I40</f>
        <v>2289002</v>
      </c>
      <c r="J474" s="1863"/>
      <c r="K474" s="1983">
        <f>'Part III-Sources of Funds'!K40</f>
        <v>5.1499999999999997E-2</v>
      </c>
      <c r="L474" s="1879">
        <f>'Part III-Sources of Funds'!L40</f>
        <v>18</v>
      </c>
      <c r="M474" s="1879">
        <f>'Part III-Sources of Funds'!M40</f>
        <v>35</v>
      </c>
      <c r="N474" s="1863" t="str">
        <f>'Part III-Sources of Funds'!N40</f>
        <v>Amortizing</v>
      </c>
      <c r="O474" s="1863"/>
      <c r="P474" s="1981">
        <f>'Part III-Sources of Funds'!P40</f>
        <v>141266.50429738068</v>
      </c>
      <c r="Q474" s="1981"/>
      <c r="S474" s="1956"/>
      <c r="T474" s="1956"/>
      <c r="Y474" s="1972" t="s">
        <v>6664</v>
      </c>
      <c r="Z474" s="1857">
        <v>40</v>
      </c>
      <c r="AZ474" s="1972" t="s">
        <v>6665</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6665</v>
      </c>
      <c r="Z475" s="1857">
        <v>41</v>
      </c>
      <c r="AZ475" s="1972" t="s">
        <v>6666</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6666</v>
      </c>
      <c r="Z476" s="1857">
        <v>42</v>
      </c>
      <c r="AZ476" s="1972" t="s">
        <v>6667</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6667</v>
      </c>
      <c r="Z477" s="1857">
        <v>43</v>
      </c>
      <c r="AZ477" s="1972" t="s">
        <v>6668</v>
      </c>
    </row>
    <row r="478" spans="1:52" s="1875" customFormat="1" ht="15.75" customHeight="1">
      <c r="A478" s="1856"/>
      <c r="B478" s="1856" t="s">
        <v>4145</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6668</v>
      </c>
      <c r="Z478" s="1868">
        <v>44</v>
      </c>
      <c r="AZ478" s="1972" t="s">
        <v>6669</v>
      </c>
    </row>
    <row r="479" spans="1:52" s="1875" customFormat="1" ht="15.75" customHeight="1">
      <c r="A479" s="1856"/>
      <c r="B479" s="1856" t="s">
        <v>219</v>
      </c>
      <c r="C479" s="1856"/>
      <c r="D479" s="1985">
        <f>'Part III-Sources of Funds'!D45</f>
        <v>8.5486904761904764E-2</v>
      </c>
      <c r="E479" s="1863" t="str">
        <f>'Part III-Sources of Funds'!E45</f>
        <v>Talon Development Company LLC</v>
      </c>
      <c r="F479" s="1863"/>
      <c r="G479" s="1863"/>
      <c r="H479" s="1863"/>
      <c r="I479" s="1894">
        <f>'Part III-Sources of Funds'!I45</f>
        <v>143618</v>
      </c>
      <c r="J479" s="1863"/>
      <c r="K479" s="1983">
        <f>'Part III-Sources of Funds'!K45</f>
        <v>0</v>
      </c>
      <c r="L479" s="1879">
        <f>'Part III-Sources of Funds'!L45</f>
        <v>4</v>
      </c>
      <c r="M479" s="1879">
        <f>'Part III-Sources of Funds'!M45</f>
        <v>4</v>
      </c>
      <c r="N479" s="1863" t="str">
        <f>'Part III-Sources of Funds'!N45</f>
        <v>Cash Flow</v>
      </c>
      <c r="O479" s="1863"/>
      <c r="P479" s="1981">
        <f>'Part III-Sources of Funds'!P45</f>
        <v>14361</v>
      </c>
      <c r="Q479" s="1981"/>
      <c r="S479" s="1956"/>
      <c r="T479" s="1956"/>
      <c r="Y479" s="1972" t="s">
        <v>6669</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146141.68558492512</v>
      </c>
      <c r="H481" s="1989" t="s">
        <v>3557</v>
      </c>
      <c r="I481" s="1988">
        <f>'Part III-Sources of Funds'!I47</f>
        <v>146141</v>
      </c>
      <c r="K481" s="1989" t="s">
        <v>3559</v>
      </c>
      <c r="L481" s="1990">
        <f>'Part III-Sources of Funds'!L47</f>
        <v>0.99999530876544651</v>
      </c>
      <c r="M481" s="1990"/>
      <c r="N481" s="1981" t="s">
        <v>4029</v>
      </c>
      <c r="O481" s="1981"/>
      <c r="P481" s="1991">
        <f>'Part III-Sources of Funds'!P47</f>
        <v>0.42999999970197678</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6670</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6670</v>
      </c>
      <c r="Z483" s="1857">
        <v>49</v>
      </c>
      <c r="AZ483" s="1972" t="s">
        <v>6671</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6671</v>
      </c>
      <c r="Z484" s="1857">
        <v>50</v>
      </c>
      <c r="AZ484" s="1972" t="s">
        <v>6672</v>
      </c>
    </row>
    <row r="485" spans="1:52" s="1875" customFormat="1" ht="15.75" customHeight="1">
      <c r="A485" s="1856"/>
      <c r="B485" s="1856" t="s">
        <v>769</v>
      </c>
      <c r="C485" s="1856"/>
      <c r="D485" s="1856"/>
      <c r="E485" s="1863" t="str">
        <f>'Part III-Sources of Funds'!E51</f>
        <v>Direct Tax Credits (fund name TBD)</v>
      </c>
      <c r="F485" s="1863"/>
      <c r="G485" s="1863"/>
      <c r="H485" s="1863"/>
      <c r="I485" s="1894">
        <f>'Part III-Sources of Funds'!I51</f>
        <v>8499150</v>
      </c>
      <c r="J485" s="1863"/>
      <c r="L485" s="1995">
        <f>'Part III-Sources of Funds'!L51</f>
        <v>8500000</v>
      </c>
      <c r="M485" s="1995"/>
      <c r="N485" s="1996">
        <f>I485-L485</f>
        <v>-850</v>
      </c>
      <c r="O485" s="1996"/>
      <c r="P485" s="1997">
        <f>I485/I495</f>
        <v>0.53347178440356169</v>
      </c>
      <c r="Q485" s="1856"/>
      <c r="S485" s="1956"/>
      <c r="T485" s="1956"/>
      <c r="Y485" s="1972" t="s">
        <v>6672</v>
      </c>
      <c r="Z485" s="1868">
        <v>51</v>
      </c>
      <c r="AZ485" s="1972" t="s">
        <v>6673</v>
      </c>
    </row>
    <row r="486" spans="1:52" s="1875" customFormat="1" ht="15.75" customHeight="1">
      <c r="A486" s="1856"/>
      <c r="B486" s="1856" t="s">
        <v>770</v>
      </c>
      <c r="C486" s="1856"/>
      <c r="D486" s="1856"/>
      <c r="E486" s="1863" t="str">
        <f>'Part III-Sources of Funds'!E52</f>
        <v>Direct Tax Credits (fund name TBD)</v>
      </c>
      <c r="F486" s="1863"/>
      <c r="G486" s="1863"/>
      <c r="H486" s="1863"/>
      <c r="I486" s="1894">
        <f>'Part III-Sources of Funds'!I52</f>
        <v>5000000</v>
      </c>
      <c r="J486" s="1863"/>
      <c r="L486" s="1995">
        <f>'Part III-Sources of Funds'!L52</f>
        <v>5000000</v>
      </c>
      <c r="M486" s="1995"/>
      <c r="N486" s="1996">
        <f>I486-L486</f>
        <v>0</v>
      </c>
      <c r="O486" s="1996"/>
      <c r="P486" s="1997">
        <f>I486/I495</f>
        <v>0.31383831583367849</v>
      </c>
      <c r="Q486" s="1856"/>
      <c r="S486" s="1956"/>
      <c r="T486" s="1956"/>
      <c r="Y486" s="1972" t="s">
        <v>6673</v>
      </c>
      <c r="Z486" s="1857">
        <v>52</v>
      </c>
      <c r="AZ486" s="1972" t="s">
        <v>6674</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0.84731010023724018</v>
      </c>
      <c r="Q487" s="1856"/>
      <c r="S487" s="1956"/>
      <c r="T487" s="1956"/>
      <c r="Y487" s="1972" t="s">
        <v>6674</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6675</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6675</v>
      </c>
      <c r="Z491" s="1857">
        <v>57</v>
      </c>
      <c r="AZ491" s="1972" t="s">
        <v>6676</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6676</v>
      </c>
      <c r="Z492" s="1857">
        <v>58</v>
      </c>
      <c r="AZ492" s="1972" t="s">
        <v>6677</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6677</v>
      </c>
      <c r="Z493" s="1857">
        <v>59</v>
      </c>
      <c r="AZ493" s="1972"/>
    </row>
    <row r="494" spans="1:52" s="1875" customFormat="1" ht="14.25" customHeight="1">
      <c r="A494" s="1856"/>
      <c r="B494" s="1858" t="s">
        <v>2115</v>
      </c>
      <c r="C494" s="1856"/>
      <c r="D494" s="1856"/>
      <c r="E494" s="1856"/>
      <c r="F494" s="1856"/>
      <c r="G494" s="1856"/>
      <c r="I494" s="1980">
        <f>SUM(I474:J479)+SUM(I483:J493)</f>
        <v>15931770</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15931770.43</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-0.42999999970197678</v>
      </c>
      <c r="J496" s="1982"/>
      <c r="K496" s="1856"/>
      <c r="L496" s="1857"/>
      <c r="M496" s="1856"/>
      <c r="N496" s="1856"/>
      <c r="O496" s="1856"/>
      <c r="P496" s="1856"/>
      <c r="Q496" s="1856"/>
      <c r="S496" s="1956"/>
      <c r="T496" s="1956"/>
      <c r="Y496" s="1972"/>
      <c r="Z496" s="1857">
        <v>62</v>
      </c>
      <c r="AZ496" s="1972"/>
    </row>
    <row r="497" spans="1:53" s="1875" customFormat="1" ht="13.35" customHeight="1">
      <c r="A497" s="1856" t="s">
        <v>4146</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f>'Part III-Sources of Funds'!A66</f>
        <v>0</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2021-041 Hunters Haven, ,  County</v>
      </c>
      <c r="W505" s="1856" t="str">
        <f>A505</f>
        <v>PART FOUR (A):  USES OF FUNDS  -  2021-041 Hunters Haven,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15000</v>
      </c>
      <c r="H512" s="1871"/>
      <c r="J512" s="1871">
        <f>'Part IV-A-Uses of Funds'!J9</f>
        <v>15000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10000</v>
      </c>
      <c r="H513" s="1871"/>
      <c r="J513" s="1871">
        <f>'Part IV-A-Uses of Funds'!J10</f>
        <v>10000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36000</v>
      </c>
      <c r="H514" s="1871"/>
      <c r="J514" s="1871">
        <f>'Part IV-A-Uses of Funds'!J11</f>
        <v>36000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15000</v>
      </c>
      <c r="H515" s="1871"/>
      <c r="J515" s="1871">
        <f>'Part IV-A-Uses of Funds'!J12</f>
        <v>15000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7000</v>
      </c>
      <c r="H516" s="1871"/>
      <c r="J516" s="1871">
        <f>'Part IV-A-Uses of Funds'!J13</f>
        <v>7000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6577</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6678</v>
      </c>
      <c r="BA518" s="1857">
        <v>15</v>
      </c>
    </row>
    <row r="519" spans="1:53" s="1856" customFormat="1" ht="11.25" customHeight="1">
      <c r="A519" s="2006" t="str">
        <f>IF(AND(G519&gt;0,OR(C519="",C519="&lt;Enter detailed description here; use Comments section if needed&gt;")),"X","")</f>
        <v/>
      </c>
      <c r="B519" s="1864" t="s">
        <v>6578</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6679</v>
      </c>
      <c r="BA519" s="1857">
        <v>16</v>
      </c>
    </row>
    <row r="520" spans="1:53" s="1856" customFormat="1" ht="11.25" customHeight="1">
      <c r="A520" s="2006" t="str">
        <f>IF(AND(G520&gt;0,OR(C520="",C520="&lt;Enter detailed description here; use Comments section if needed&gt;")),"X","")</f>
        <v/>
      </c>
      <c r="B520" s="1864" t="s">
        <v>6579</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6680</v>
      </c>
      <c r="BA520" s="1857">
        <v>17</v>
      </c>
    </row>
    <row r="521" spans="1:53" s="1856" customFormat="1" ht="12.6" customHeight="1">
      <c r="F521" s="2007" t="s">
        <v>183</v>
      </c>
      <c r="G521" s="2002">
        <f>SUM(G512:G520)</f>
        <v>83000</v>
      </c>
      <c r="H521" s="2002"/>
      <c r="J521" s="2002">
        <f>SUM(J512:J520)</f>
        <v>83000</v>
      </c>
      <c r="K521" s="2002"/>
      <c r="L521" s="1889"/>
      <c r="M521" s="2002">
        <f>SUM(M512:M520)</f>
        <v>0</v>
      </c>
      <c r="N521" s="2002"/>
      <c r="P521" s="2002">
        <f>SUM(P512:P520)</f>
        <v>0</v>
      </c>
      <c r="Q521" s="2002"/>
      <c r="S521" s="2002">
        <f>SUM(S512:S520)</f>
        <v>0</v>
      </c>
      <c r="T521" s="2002"/>
      <c r="V521" s="2004">
        <f>SUM(V512:V520)</f>
        <v>0</v>
      </c>
      <c r="W521" s="2005"/>
      <c r="X521" s="2005"/>
      <c r="AZ521" s="1937" t="s">
        <v>6681</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3352</v>
      </c>
      <c r="F523" s="2010">
        <f>IF('Part I-Project Information'!$O$38="","",G523/'Part I-Project Information'!$O$38)</f>
        <v>90000</v>
      </c>
      <c r="G523" s="1871">
        <f>'Part IV-A-Uses of Funds'!G20</f>
        <v>900000</v>
      </c>
      <c r="H523" s="1871"/>
      <c r="J523" s="1889"/>
      <c r="K523" s="2002"/>
      <c r="L523" s="1889"/>
      <c r="M523" s="1889"/>
      <c r="N523" s="2002"/>
      <c r="P523" s="1889"/>
      <c r="Q523" s="2002"/>
      <c r="S523" s="1871">
        <f>'Part IV-A-Uses of Funds'!S20</f>
        <v>900000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900000</v>
      </c>
      <c r="H527" s="2002"/>
      <c r="J527" s="1889"/>
      <c r="K527" s="2002"/>
      <c r="L527" s="1889"/>
      <c r="M527" s="2002">
        <f>SUM(M525:M526)</f>
        <v>0</v>
      </c>
      <c r="N527" s="2002"/>
      <c r="P527" s="1889"/>
      <c r="Q527" s="2002"/>
      <c r="S527" s="2002">
        <f>SUM(S523:S526)</f>
        <v>900000</v>
      </c>
      <c r="T527" s="2002"/>
      <c r="V527" s="2004">
        <f>SUM(V523:V526)</f>
        <v>0</v>
      </c>
      <c r="W527" s="2005"/>
      <c r="X527" s="2005"/>
      <c r="AZ527" s="1937" t="s">
        <v>6682</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3352</v>
      </c>
      <c r="F529" s="2010">
        <f>IF('Part I-Project Information'!$O$38="","",G529/'Part I-Project Information'!$O$38)</f>
        <v>20000</v>
      </c>
      <c r="G529" s="1871">
        <f>'Part IV-A-Uses of Funds'!G26</f>
        <v>200000</v>
      </c>
      <c r="H529" s="1871"/>
      <c r="J529" s="1871">
        <f>'Part IV-A-Uses of Funds'!J26</f>
        <v>100000</v>
      </c>
      <c r="K529" s="1871"/>
      <c r="L529" s="1889"/>
      <c r="M529" s="1871">
        <f>'Part IV-A-Uses of Funds'!M26</f>
        <v>0</v>
      </c>
      <c r="N529" s="1871"/>
      <c r="P529" s="1871">
        <f>'Part IV-A-Uses of Funds'!P26</f>
        <v>0</v>
      </c>
      <c r="Q529" s="1871"/>
      <c r="S529" s="1871">
        <f>'Part IV-A-Uses of Funds'!S26</f>
        <v>100000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200000</v>
      </c>
      <c r="H531" s="2002"/>
      <c r="J531" s="2002">
        <f>SUM(J529:J530)</f>
        <v>100000</v>
      </c>
      <c r="K531" s="2002"/>
      <c r="L531" s="1889"/>
      <c r="M531" s="2002">
        <f>M529</f>
        <v>0</v>
      </c>
      <c r="N531" s="2002"/>
      <c r="P531" s="2002">
        <f>P529</f>
        <v>0</v>
      </c>
      <c r="Q531" s="2002"/>
      <c r="S531" s="2002">
        <f>SUM(S529:S530)</f>
        <v>100000</v>
      </c>
      <c r="T531" s="2002"/>
      <c r="V531" s="2004">
        <f>SUM(V529:V530)</f>
        <v>0</v>
      </c>
      <c r="W531" s="2005"/>
      <c r="X531" s="2005"/>
      <c r="AZ531" s="1937" t="s">
        <v>6683</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8906752</v>
      </c>
      <c r="H533" s="1871"/>
      <c r="J533" s="1871">
        <f>'Part IV-A-Uses of Funds'!J30</f>
        <v>8906752</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6300</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6298</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6299</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8906752</v>
      </c>
      <c r="H539" s="2002"/>
      <c r="J539" s="2002">
        <f>SUM(J533:J538)</f>
        <v>8906752</v>
      </c>
      <c r="K539" s="2002"/>
      <c r="L539" s="1889"/>
      <c r="M539" s="2002">
        <f>SUM(M533:M538)</f>
        <v>0</v>
      </c>
      <c r="N539" s="2002"/>
      <c r="P539" s="2002">
        <f>SUM(P533:P538)</f>
        <v>0</v>
      </c>
      <c r="Q539" s="2002"/>
      <c r="S539" s="2002">
        <f>SUM(S533:S538)</f>
        <v>0</v>
      </c>
      <c r="T539" s="2002"/>
      <c r="V539" s="2004">
        <f>SUM(V533:V538)</f>
        <v>0</v>
      </c>
      <c r="W539" s="2005"/>
      <c r="X539" s="2005"/>
      <c r="AZ539" s="1937" t="s">
        <v>6684</v>
      </c>
      <c r="BA539" s="1857">
        <v>36</v>
      </c>
    </row>
    <row r="540" spans="2:53" s="1856" customFormat="1" ht="12" customHeight="1">
      <c r="B540" s="1856" t="s">
        <v>2239</v>
      </c>
      <c r="D540" s="1875" t="s">
        <v>3356</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546405.12</v>
      </c>
      <c r="F541" s="2015">
        <f>IF(($G$28+$G$36)=0,0,G541/($G$28+$G$36))</f>
        <v>0</v>
      </c>
      <c r="G541" s="1871">
        <f>'Part IV-A-Uses of Funds'!G38</f>
        <v>546405</v>
      </c>
      <c r="H541" s="1871"/>
      <c r="I541" s="1865"/>
      <c r="J541" s="1871">
        <f>'Part IV-A-Uses of Funds'!J38</f>
        <v>540405</v>
      </c>
      <c r="K541" s="1871"/>
      <c r="L541" s="1889"/>
      <c r="M541" s="1871">
        <f>'Part IV-A-Uses of Funds'!M38</f>
        <v>0</v>
      </c>
      <c r="N541" s="1871"/>
      <c r="P541" s="1871">
        <f>'Part IV-A-Uses of Funds'!P38</f>
        <v>0</v>
      </c>
      <c r="Q541" s="1871"/>
      <c r="S541" s="1871">
        <f>'Part IV-A-Uses of Funds'!S38</f>
        <v>6000</v>
      </c>
      <c r="T541" s="1871"/>
      <c r="V541" s="2004"/>
      <c r="W541" s="2005"/>
      <c r="X541" s="2005"/>
      <c r="AZ541" s="1937"/>
      <c r="BA541" s="1868">
        <v>38</v>
      </c>
    </row>
    <row r="542" spans="2:53" s="1856" customFormat="1" ht="11.25" customHeight="1">
      <c r="B542" s="1856" t="s">
        <v>2574</v>
      </c>
      <c r="D542" s="2015">
        <f>'DCA Underwriting Assumptions'!$R$79</f>
        <v>0.02</v>
      </c>
      <c r="E542" s="2016">
        <f>D542*(G531+G539)</f>
        <v>182135.04000000001</v>
      </c>
      <c r="F542" s="2015">
        <f>IF(($G$28+$G$36)=0,0,G542/($G$28+$G$36))</f>
        <v>0</v>
      </c>
      <c r="G542" s="1871">
        <f>'Part IV-A-Uses of Funds'!G39</f>
        <v>182135</v>
      </c>
      <c r="H542" s="1871"/>
      <c r="I542" s="1865"/>
      <c r="J542" s="1871">
        <f>'Part IV-A-Uses of Funds'!J39</f>
        <v>180135</v>
      </c>
      <c r="K542" s="1871"/>
      <c r="L542" s="1889"/>
      <c r="M542" s="1871">
        <f>'Part IV-A-Uses of Funds'!M39</f>
        <v>0</v>
      </c>
      <c r="N542" s="1871"/>
      <c r="P542" s="1871">
        <f>'Part IV-A-Uses of Funds'!P39</f>
        <v>0</v>
      </c>
      <c r="Q542" s="1871"/>
      <c r="S542" s="1871">
        <f>'Part IV-A-Uses of Funds'!S39</f>
        <v>2000</v>
      </c>
      <c r="T542" s="1871"/>
      <c r="V542" s="2004"/>
      <c r="W542" s="2005"/>
      <c r="X542" s="2005"/>
      <c r="AZ542" s="1937"/>
      <c r="BA542" s="1857">
        <v>39</v>
      </c>
    </row>
    <row r="543" spans="2:53" s="1856" customFormat="1" ht="11.25" customHeight="1">
      <c r="B543" s="1856" t="s">
        <v>2575</v>
      </c>
      <c r="D543" s="2015">
        <f>'DCA Underwriting Assumptions'!$R$80</f>
        <v>0.06</v>
      </c>
      <c r="E543" s="2016">
        <f>D543*(G531+G539)</f>
        <v>546405.12</v>
      </c>
      <c r="F543" s="2015">
        <f>IF(($G$28+$G$36)=0,0,G543/($G$28+$G$36))</f>
        <v>0</v>
      </c>
      <c r="G543" s="1871">
        <f>'Part IV-A-Uses of Funds'!G40</f>
        <v>546405</v>
      </c>
      <c r="H543" s="1871"/>
      <c r="I543" s="1865"/>
      <c r="J543" s="1871">
        <f>'Part IV-A-Uses of Funds'!J40</f>
        <v>540405</v>
      </c>
      <c r="K543" s="1871"/>
      <c r="L543" s="1889"/>
      <c r="M543" s="1871">
        <f>'Part IV-A-Uses of Funds'!M40</f>
        <v>0</v>
      </c>
      <c r="N543" s="1871"/>
      <c r="P543" s="1871">
        <f>'Part IV-A-Uses of Funds'!P40</f>
        <v>0</v>
      </c>
      <c r="Q543" s="1871"/>
      <c r="S543" s="1871">
        <f>'Part IV-A-Uses of Funds'!S40</f>
        <v>6000</v>
      </c>
      <c r="T543" s="1871"/>
      <c r="V543" s="2004"/>
      <c r="W543" s="2005"/>
      <c r="X543" s="2005"/>
      <c r="AZ543" s="1937"/>
      <c r="BA543" s="1857">
        <v>40</v>
      </c>
    </row>
    <row r="544" spans="2:53" s="1856" customFormat="1" ht="12.6" customHeight="1">
      <c r="B544" s="1864" t="s">
        <v>3357</v>
      </c>
      <c r="D544" s="2014">
        <f>SUM(D541:D543)</f>
        <v>0.14000000000000001</v>
      </c>
      <c r="E544" s="2017">
        <f>SUM(E541:E543)</f>
        <v>1274945.28</v>
      </c>
      <c r="F544" s="2007" t="s">
        <v>183</v>
      </c>
      <c r="G544" s="2002">
        <f>SUM(G541:G543)</f>
        <v>1274945</v>
      </c>
      <c r="H544" s="2002"/>
      <c r="J544" s="2002">
        <f>SUM(J541:J543)</f>
        <v>1260945</v>
      </c>
      <c r="K544" s="2002"/>
      <c r="L544" s="1889"/>
      <c r="M544" s="2002">
        <f>SUM(M541:M543)</f>
        <v>0</v>
      </c>
      <c r="N544" s="2002"/>
      <c r="P544" s="2002">
        <f>SUM(P541:P543)</f>
        <v>0</v>
      </c>
      <c r="Q544" s="2002"/>
      <c r="S544" s="2002">
        <f>SUM(S541:S543)</f>
        <v>14000</v>
      </c>
      <c r="T544" s="2002"/>
      <c r="V544" s="2004">
        <f>SUM(V541:V543)</f>
        <v>0</v>
      </c>
      <c r="W544" s="2005"/>
      <c r="X544" s="2005"/>
      <c r="AZ544" s="1937" t="s">
        <v>6685</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6818</v>
      </c>
      <c r="E546" s="1857"/>
      <c r="F546" s="1857"/>
      <c r="G546" s="2019">
        <f>G531+G539+G544</f>
        <v>10381697</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6686</v>
      </c>
      <c r="BA547" s="1857">
        <v>44</v>
      </c>
    </row>
    <row r="548" spans="1:53" s="1856" customFormat="1" ht="12" customHeight="1">
      <c r="B548" s="1856" t="s">
        <v>7100</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6580</v>
      </c>
      <c r="C549" s="1869" t="str">
        <f>'Part IV-A-Uses of Funds'!C46</f>
        <v>Site Lighting</v>
      </c>
      <c r="D549" s="1869"/>
      <c r="E549" s="1869"/>
      <c r="F549" s="1869"/>
      <c r="G549" s="1871">
        <f>'Part IV-A-Uses of Funds'!G46</f>
        <v>30000</v>
      </c>
      <c r="H549" s="1871"/>
      <c r="I549" s="1856"/>
      <c r="J549" s="1871">
        <f>'Part IV-A-Uses of Funds'!J46</f>
        <v>30000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6687</v>
      </c>
      <c r="BA550" s="1868">
        <v>47</v>
      </c>
    </row>
    <row r="551" spans="1:53" s="1856" customFormat="1" ht="12.6" customHeight="1">
      <c r="B551" s="2020" t="s">
        <v>7101</v>
      </c>
      <c r="C551" s="2021"/>
      <c r="E551" s="1856" t="s">
        <v>2579</v>
      </c>
      <c r="F551" s="2022">
        <f>C552/'Part VI-Revenues &amp; Expenses'!$P$65</f>
        <v>144606.90277777778</v>
      </c>
      <c r="G551" s="2023" t="s">
        <v>7102</v>
      </c>
      <c r="J551" s="2024">
        <f>C552/'Part VI-Revenues &amp; Expenses'!$P$67</f>
        <v>144606.90277777778</v>
      </c>
      <c r="K551" s="2024"/>
      <c r="M551" s="2025" t="s">
        <v>6798</v>
      </c>
      <c r="N551" s="2025"/>
      <c r="P551" s="2024">
        <f>C552/'Part I-Project Information'!$P$70</f>
        <v>149.62774488388135</v>
      </c>
      <c r="Q551" s="2024"/>
      <c r="S551" s="1896" t="s">
        <v>6800</v>
      </c>
      <c r="T551" s="1896"/>
      <c r="V551" s="2008"/>
      <c r="W551" s="2005"/>
      <c r="X551" s="2005"/>
      <c r="AZ551" s="1937"/>
      <c r="BA551" s="1857">
        <v>48</v>
      </c>
    </row>
    <row r="552" spans="1:53" s="1856" customFormat="1" ht="12.6" customHeight="1">
      <c r="B552" s="2026" t="s">
        <v>6817</v>
      </c>
      <c r="C552" s="2027">
        <f>G531+G539+G544+G549</f>
        <v>10411697</v>
      </c>
      <c r="F552" s="2022">
        <f>C552/'Part VI-Revenues &amp; Expenses'!$P$166</f>
        <v>158.75361368626494</v>
      </c>
      <c r="G552" s="1896" t="s">
        <v>7103</v>
      </c>
      <c r="J552" s="2024">
        <f>C552/'Part VI-Revenues &amp; Expenses'!$P$168</f>
        <v>158.75361368626494</v>
      </c>
      <c r="K552" s="2024"/>
      <c r="M552" s="1896" t="s">
        <v>6799</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7104</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6608</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520584.85000000003</v>
      </c>
      <c r="F558" s="2031">
        <f>G558/C552</f>
        <v>4.9855945673409438E-2</v>
      </c>
      <c r="G558" s="1871">
        <f>'Part IV-A-Uses of Funds'!G55</f>
        <v>519085</v>
      </c>
      <c r="H558" s="1871"/>
      <c r="I558" s="1856"/>
      <c r="J558" s="1871">
        <f>'Part IV-A-Uses of Funds'!J55</f>
        <v>519085</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6609</v>
      </c>
      <c r="C560" s="2021"/>
      <c r="E560" s="1856" t="s">
        <v>6610</v>
      </c>
      <c r="F560" s="2022">
        <f>B561/'Part VI-Revenues &amp; Expenses'!$P$65</f>
        <v>151816.41666666666</v>
      </c>
      <c r="G560" s="2023" t="s">
        <v>7102</v>
      </c>
      <c r="J560" s="2024">
        <f>B561/'Part VI-Revenues &amp; Expenses'!$P$67</f>
        <v>151816.41666666666</v>
      </c>
      <c r="K560" s="2024"/>
      <c r="M560" s="2025" t="s">
        <v>6798</v>
      </c>
      <c r="N560" s="2025"/>
      <c r="P560" s="2024">
        <f>B561/'Part I-Project Information'!$P$70</f>
        <v>157.08757760404691</v>
      </c>
      <c r="Q560" s="2024"/>
      <c r="S560" s="1896" t="s">
        <v>6800</v>
      </c>
      <c r="T560" s="1896"/>
      <c r="V560" s="2008"/>
      <c r="W560" s="2005"/>
      <c r="X560" s="2005"/>
      <c r="AZ560" s="1937"/>
      <c r="BA560" s="1857">
        <v>54</v>
      </c>
    </row>
    <row r="561" spans="1:53" s="1856" customFormat="1" ht="12.6" customHeight="1">
      <c r="B561" s="2027">
        <f>C552+G558</f>
        <v>10930782</v>
      </c>
      <c r="C561" s="2027"/>
      <c r="F561" s="2022">
        <f>B561/'Part VI-Revenues &amp; Expenses'!$P$166</f>
        <v>166.66842522566481</v>
      </c>
      <c r="G561" s="1896" t="s">
        <v>7103</v>
      </c>
      <c r="J561" s="2024">
        <f>B561/'Part VI-Revenues &amp; Expenses'!$P$168</f>
        <v>166.66842522566481</v>
      </c>
      <c r="K561" s="2024"/>
      <c r="M561" s="1896" t="s">
        <v>6799</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3358</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3359</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107700</v>
      </c>
      <c r="H566" s="1871"/>
      <c r="J566" s="1871">
        <f>'Part IV-A-Uses of Funds'!J63</f>
        <v>70005</v>
      </c>
      <c r="K566" s="1871"/>
      <c r="L566" s="1889"/>
      <c r="M566" s="1871">
        <f>'Part IV-A-Uses of Funds'!M63</f>
        <v>0</v>
      </c>
      <c r="N566" s="1871"/>
      <c r="P566" s="1871">
        <f>'Part IV-A-Uses of Funds'!P63</f>
        <v>0</v>
      </c>
      <c r="Q566" s="1871"/>
      <c r="S566" s="1871">
        <f>'Part IV-A-Uses of Funds'!S63</f>
        <v>37695</v>
      </c>
      <c r="T566" s="1871"/>
      <c r="V566" s="2004"/>
      <c r="W566" s="2005"/>
      <c r="X566" s="2005"/>
      <c r="AZ566" s="1937"/>
      <c r="BA566" s="1868">
        <v>63</v>
      </c>
    </row>
    <row r="567" spans="1:53" s="1856" customFormat="1" ht="12" customHeight="1">
      <c r="B567" s="1856" t="s">
        <v>2243</v>
      </c>
      <c r="G567" s="1871">
        <f>'Part IV-A-Uses of Funds'!G64</f>
        <v>425831</v>
      </c>
      <c r="H567" s="1871"/>
      <c r="J567" s="1871">
        <f>'Part IV-A-Uses of Funds'!J64</f>
        <v>276790</v>
      </c>
      <c r="K567" s="1871"/>
      <c r="L567" s="1889"/>
      <c r="M567" s="1871">
        <f>'Part IV-A-Uses of Funds'!M64</f>
        <v>0</v>
      </c>
      <c r="N567" s="1871"/>
      <c r="P567" s="1871">
        <f>'Part IV-A-Uses of Funds'!P64</f>
        <v>0</v>
      </c>
      <c r="Q567" s="1871"/>
      <c r="S567" s="1871">
        <f>'Part IV-A-Uses of Funds'!S64</f>
        <v>149041</v>
      </c>
      <c r="T567" s="1871"/>
      <c r="V567" s="2004"/>
      <c r="W567" s="2005"/>
      <c r="X567" s="2005"/>
      <c r="AZ567" s="1937"/>
      <c r="BA567" s="1857">
        <v>64</v>
      </c>
    </row>
    <row r="568" spans="1:53" s="1856" customFormat="1" ht="12" customHeight="1">
      <c r="B568" s="1856" t="s">
        <v>2244</v>
      </c>
      <c r="G568" s="1871">
        <f>'Part IV-A-Uses of Funds'!G65</f>
        <v>50000</v>
      </c>
      <c r="H568" s="1871"/>
      <c r="J568" s="1871">
        <f>'Part IV-A-Uses of Funds'!J65</f>
        <v>32500</v>
      </c>
      <c r="K568" s="1871"/>
      <c r="L568" s="1889"/>
      <c r="M568" s="1871">
        <f>'Part IV-A-Uses of Funds'!M65</f>
        <v>0</v>
      </c>
      <c r="N568" s="1871"/>
      <c r="P568" s="1871">
        <f>'Part IV-A-Uses of Funds'!P65</f>
        <v>0</v>
      </c>
      <c r="Q568" s="1871"/>
      <c r="S568" s="1871">
        <f>'Part IV-A-Uses of Funds'!S65</f>
        <v>17500</v>
      </c>
      <c r="T568" s="1871"/>
      <c r="V568" s="2004"/>
      <c r="W568" s="2005"/>
      <c r="X568" s="2005"/>
      <c r="AZ568" s="1937" t="s">
        <v>6688</v>
      </c>
      <c r="BA568" s="1857">
        <v>65</v>
      </c>
    </row>
    <row r="569" spans="1:53" s="1856" customFormat="1" ht="12" customHeight="1">
      <c r="B569" s="1856" t="s">
        <v>2539</v>
      </c>
      <c r="G569" s="1871">
        <f>'Part IV-A-Uses of Funds'!G66</f>
        <v>20000</v>
      </c>
      <c r="H569" s="1871"/>
      <c r="J569" s="1871">
        <f>'Part IV-A-Uses of Funds'!J66</f>
        <v>13000</v>
      </c>
      <c r="K569" s="1871"/>
      <c r="L569" s="1889"/>
      <c r="M569" s="1871">
        <f>'Part IV-A-Uses of Funds'!M66</f>
        <v>0</v>
      </c>
      <c r="N569" s="1871"/>
      <c r="P569" s="1871">
        <f>'Part IV-A-Uses of Funds'!P66</f>
        <v>0</v>
      </c>
      <c r="Q569" s="1871"/>
      <c r="S569" s="1871">
        <f>'Part IV-A-Uses of Funds'!S66</f>
        <v>7000</v>
      </c>
      <c r="T569" s="1871"/>
      <c r="V569" s="2004"/>
      <c r="W569" s="2005"/>
      <c r="X569" s="2005"/>
      <c r="AZ569" s="1937" t="s">
        <v>6689</v>
      </c>
      <c r="BA569" s="1857">
        <v>66</v>
      </c>
    </row>
    <row r="570" spans="1:53" s="1856" customFormat="1" ht="12" customHeight="1">
      <c r="B570" s="1856" t="s">
        <v>693</v>
      </c>
      <c r="G570" s="1871">
        <f>'Part IV-A-Uses of Funds'!G67</f>
        <v>20000</v>
      </c>
      <c r="H570" s="1871"/>
      <c r="J570" s="1871">
        <f>'Part IV-A-Uses of Funds'!J67</f>
        <v>20000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6690</v>
      </c>
      <c r="BA570" s="1857">
        <v>67</v>
      </c>
    </row>
    <row r="571" spans="1:53" s="1856" customFormat="1" ht="12" customHeight="1">
      <c r="B571" s="1856" t="s">
        <v>2245</v>
      </c>
      <c r="G571" s="1871">
        <f>'Part IV-A-Uses of Funds'!G68</f>
        <v>75000</v>
      </c>
      <c r="H571" s="1871"/>
      <c r="J571" s="1871">
        <f>'Part IV-A-Uses of Funds'!J68</f>
        <v>75000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0</v>
      </c>
      <c r="H572" s="1871"/>
      <c r="J572" s="1871">
        <f>'Part IV-A-Uses of Funds'!J69</f>
        <v>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6582</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6583</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698531</v>
      </c>
      <c r="H576" s="2002"/>
      <c r="J576" s="2002">
        <f>SUM(J564:J575)</f>
        <v>487295</v>
      </c>
      <c r="K576" s="2002"/>
      <c r="L576" s="1889"/>
      <c r="M576" s="2002">
        <f>SUM(M564:M575)</f>
        <v>0</v>
      </c>
      <c r="N576" s="2002"/>
      <c r="P576" s="2002">
        <f>SUM(P564:P575)</f>
        <v>0</v>
      </c>
      <c r="Q576" s="2002"/>
      <c r="S576" s="2002">
        <f>SUM(S564:S575)</f>
        <v>211236</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225000</v>
      </c>
      <c r="H578" s="1871"/>
      <c r="J578" s="1871">
        <f>'Part IV-A-Uses of Funds'!J75</f>
        <v>225000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0</v>
      </c>
      <c r="H579" s="1871"/>
      <c r="J579" s="1871">
        <f>'Part IV-A-Uses of Funds'!J76</f>
        <v>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0</v>
      </c>
      <c r="H581" s="1871"/>
      <c r="J581" s="1871">
        <f>'Part IV-A-Uses of Funds'!J78</f>
        <v>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5000</v>
      </c>
      <c r="H582" s="1871"/>
      <c r="J582" s="1871">
        <f>'Part IV-A-Uses of Funds'!J79</f>
        <v>5000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6691</v>
      </c>
      <c r="BA582" s="1857">
        <v>79</v>
      </c>
    </row>
    <row r="583" spans="1:53" s="1856" customFormat="1" ht="12" customHeight="1">
      <c r="B583" s="1856" t="s">
        <v>1089</v>
      </c>
      <c r="G583" s="1871">
        <f>'Part IV-A-Uses of Funds'!G80</f>
        <v>0</v>
      </c>
      <c r="H583" s="1871"/>
      <c r="J583" s="1871">
        <f>'Part IV-A-Uses of Funds'!J80</f>
        <v>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6692</v>
      </c>
      <c r="BA583" s="1857">
        <v>80</v>
      </c>
    </row>
    <row r="584" spans="1:53" s="1856" customFormat="1" ht="12" customHeight="1">
      <c r="B584" s="1856" t="s">
        <v>459</v>
      </c>
      <c r="G584" s="1871">
        <f>'Part IV-A-Uses of Funds'!G81</f>
        <v>100000</v>
      </c>
      <c r="H584" s="1871"/>
      <c r="J584" s="1871">
        <f>'Part IV-A-Uses of Funds'!J81</f>
        <v>100000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100000</v>
      </c>
      <c r="H585" s="1871"/>
      <c r="J585" s="1871">
        <f>'Part IV-A-Uses of Funds'!J82</f>
        <v>50000</v>
      </c>
      <c r="K585" s="1871"/>
      <c r="L585" s="1889"/>
      <c r="M585" s="1871">
        <f>'Part IV-A-Uses of Funds'!M82</f>
        <v>0</v>
      </c>
      <c r="N585" s="1871"/>
      <c r="P585" s="1871">
        <f>'Part IV-A-Uses of Funds'!P82</f>
        <v>0</v>
      </c>
      <c r="Q585" s="1871"/>
      <c r="S585" s="1871">
        <f>'Part IV-A-Uses of Funds'!S82</f>
        <v>50000</v>
      </c>
      <c r="T585" s="1871"/>
      <c r="V585" s="2004"/>
      <c r="W585" s="2005"/>
      <c r="X585" s="2005"/>
      <c r="AZ585" s="1937"/>
      <c r="BA585" s="1857">
        <v>82</v>
      </c>
    </row>
    <row r="586" spans="1:53" s="1856" customFormat="1" ht="12" customHeight="1">
      <c r="B586" s="1856" t="s">
        <v>1957</v>
      </c>
      <c r="G586" s="1871">
        <f>'Part IV-A-Uses of Funds'!G83</f>
        <v>40000</v>
      </c>
      <c r="H586" s="1871"/>
      <c r="J586" s="1871">
        <f>'Part IV-A-Uses of Funds'!J83</f>
        <v>40000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6584</v>
      </c>
      <c r="C588" s="1869" t="str">
        <f>'Part IV-A-Uses of Funds'!C85</f>
        <v>Radon Testing</v>
      </c>
      <c r="D588" s="1869"/>
      <c r="E588" s="1869"/>
      <c r="F588" s="1869"/>
      <c r="G588" s="1871">
        <f>'Part IV-A-Uses of Funds'!G85</f>
        <v>5500</v>
      </c>
      <c r="H588" s="1871"/>
      <c r="J588" s="1871">
        <f>'Part IV-A-Uses of Funds'!J85</f>
        <v>5500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505500</v>
      </c>
      <c r="H589" s="2002"/>
      <c r="J589" s="2002">
        <f>SUM(J578:J588)</f>
        <v>455500</v>
      </c>
      <c r="K589" s="2002"/>
      <c r="L589" s="1889"/>
      <c r="M589" s="2002">
        <f>SUM(M578:M588)</f>
        <v>0</v>
      </c>
      <c r="N589" s="2002"/>
      <c r="P589" s="2002">
        <f>SUM(P578:P588)</f>
        <v>0</v>
      </c>
      <c r="Q589" s="2002"/>
      <c r="S589" s="2002">
        <f>SUM(S578:S588)</f>
        <v>50000</v>
      </c>
      <c r="T589" s="2002"/>
      <c r="V589" s="2004">
        <f>SUM(V578:V588)</f>
        <v>0</v>
      </c>
      <c r="W589" s="2005"/>
      <c r="X589" s="2005"/>
      <c r="AZ589" s="1937" t="s">
        <v>6693</v>
      </c>
      <c r="BA589" s="1857">
        <v>86</v>
      </c>
    </row>
    <row r="590" spans="1:53" s="1865" customFormat="1" ht="12" customHeight="1">
      <c r="A590" s="1856"/>
      <c r="B590" s="1856" t="s">
        <v>1221</v>
      </c>
      <c r="C590" s="1856"/>
      <c r="D590" s="2035" t="s">
        <v>3360</v>
      </c>
      <c r="E590" s="2036">
        <f>G595/'Part VI-Revenues &amp; Expenses'!$P$67</f>
        <v>3508.9920833333331</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49373</v>
      </c>
      <c r="H591" s="1871"/>
      <c r="J591" s="1871">
        <f>'Part IV-A-Uses of Funds'!J88</f>
        <v>49373</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105519</v>
      </c>
      <c r="H592" s="1871"/>
      <c r="J592" s="1871">
        <f>'Part IV-A-Uses of Funds'!J89</f>
        <v>105519</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0</v>
      </c>
      <c r="H593" s="1871"/>
      <c r="I593" s="1865"/>
      <c r="J593" s="1871">
        <f>'Part IV-A-Uses of Funds'!J90</f>
        <v>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97755.43</v>
      </c>
      <c r="H594" s="1871"/>
      <c r="I594" s="1865"/>
      <c r="J594" s="1871">
        <f>'Part IV-A-Uses of Funds'!J91</f>
        <v>97755.43</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252647.43</v>
      </c>
      <c r="H595" s="2002"/>
      <c r="J595" s="2002">
        <f>SUM(J591:J594)</f>
        <v>252647.43</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7105</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6694</v>
      </c>
      <c r="BA599" s="1868">
        <v>93</v>
      </c>
    </row>
    <row r="600" spans="1:53" s="1856" customFormat="1" ht="12" customHeight="1">
      <c r="B600" s="1856" t="s">
        <v>1226</v>
      </c>
      <c r="G600" s="1871">
        <f>'Part IV-A-Uses of Funds'!G97</f>
        <v>22890</v>
      </c>
      <c r="H600" s="1871"/>
      <c r="J600" s="2002"/>
      <c r="K600" s="2002"/>
      <c r="L600" s="1889"/>
      <c r="M600" s="2002"/>
      <c r="N600" s="2002"/>
      <c r="P600" s="2002"/>
      <c r="Q600" s="2002"/>
      <c r="S600" s="1871">
        <f>'Part IV-A-Uses of Funds'!S97</f>
        <v>22890</v>
      </c>
      <c r="T600" s="1871"/>
      <c r="V600" s="2004"/>
      <c r="W600" s="2005"/>
      <c r="X600" s="2005"/>
      <c r="AZ600" s="1937" t="s">
        <v>6695</v>
      </c>
      <c r="BA600" s="1857">
        <v>94</v>
      </c>
    </row>
    <row r="601" spans="1:53" s="1856" customFormat="1" ht="12" customHeight="1">
      <c r="B601" s="1856" t="s">
        <v>1227</v>
      </c>
      <c r="G601" s="1871">
        <f>'Part IV-A-Uses of Funds'!G98</f>
        <v>50000</v>
      </c>
      <c r="H601" s="1871"/>
      <c r="J601" s="2002"/>
      <c r="K601" s="2002"/>
      <c r="L601" s="1889"/>
      <c r="M601" s="2002"/>
      <c r="N601" s="2002"/>
      <c r="P601" s="2002"/>
      <c r="Q601" s="2002"/>
      <c r="S601" s="1871">
        <f>'Part IV-A-Uses of Funds'!S98</f>
        <v>50000</v>
      </c>
      <c r="T601" s="1871"/>
      <c r="V601" s="2004"/>
      <c r="W601" s="2005"/>
      <c r="X601" s="2005"/>
      <c r="AZ601" s="1937"/>
      <c r="BA601" s="1857">
        <v>95</v>
      </c>
    </row>
    <row r="602" spans="1:53" s="1856" customFormat="1" ht="12" customHeight="1">
      <c r="B602" s="1856" t="s">
        <v>1228</v>
      </c>
      <c r="G602" s="1871">
        <f>'Part IV-A-Uses of Funds'!G99</f>
        <v>75000</v>
      </c>
      <c r="H602" s="1871"/>
      <c r="J602" s="2002"/>
      <c r="K602" s="2002"/>
      <c r="L602" s="1889"/>
      <c r="M602" s="2002"/>
      <c r="N602" s="2002"/>
      <c r="P602" s="2002"/>
      <c r="Q602" s="2002"/>
      <c r="S602" s="1871">
        <f>'Part IV-A-Uses of Funds'!S99</f>
        <v>75000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6585</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147890</v>
      </c>
      <c r="H606" s="2002"/>
      <c r="J606" s="2002"/>
      <c r="K606" s="2002"/>
      <c r="L606" s="1889"/>
      <c r="M606" s="2002"/>
      <c r="N606" s="2002"/>
      <c r="P606" s="2002"/>
      <c r="Q606" s="2002"/>
      <c r="S606" s="2002">
        <f>SUM(S600:S605)</f>
        <v>147890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7500</v>
      </c>
      <c r="H609" s="1871"/>
      <c r="J609" s="1889"/>
      <c r="K609" s="1889"/>
      <c r="L609" s="2038"/>
      <c r="M609" s="1889"/>
      <c r="N609" s="1889"/>
      <c r="P609" s="1889"/>
      <c r="Q609" s="1889"/>
      <c r="S609" s="1871">
        <f>'Part IV-A-Uses of Funds'!S106</f>
        <v>7500</v>
      </c>
      <c r="T609" s="1871"/>
      <c r="V609" s="2004"/>
      <c r="W609" s="2005"/>
      <c r="X609" s="2005"/>
      <c r="AZ609" s="1937" t="s">
        <v>6696</v>
      </c>
      <c r="BA609" s="1857">
        <v>106</v>
      </c>
    </row>
    <row r="610" spans="1:53" s="1856" customFormat="1" ht="12.6" customHeight="1">
      <c r="B610" s="1856" t="s">
        <v>3462</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6697</v>
      </c>
      <c r="BA610" s="1857">
        <v>107</v>
      </c>
    </row>
    <row r="611" spans="1:53" s="1856" customFormat="1" ht="12.6" customHeight="1">
      <c r="B611" s="1856" t="s">
        <v>494</v>
      </c>
      <c r="E611" s="2039">
        <f>ROUNDUP('DCA Underwriting Assumptions'!$Q$93*J700,0)</f>
        <v>80000</v>
      </c>
      <c r="F611" s="2039"/>
      <c r="G611" s="1871">
        <f>'Part IV-A-Uses of Funds'!G108</f>
        <v>80000</v>
      </c>
      <c r="H611" s="1871"/>
      <c r="J611" s="2040" t="str">
        <f>IF(E611&gt;G611,"WARNING!  LIHTC Allocation Fee proposed is below minimum required.","")</f>
        <v/>
      </c>
      <c r="K611" s="1889"/>
      <c r="L611" s="1889"/>
      <c r="M611" s="1889"/>
      <c r="N611" s="1889"/>
      <c r="P611" s="1889"/>
      <c r="Q611" s="1889"/>
      <c r="S611" s="1871">
        <f>'Part IV-A-Uses of Funds'!S108</f>
        <v>80000</v>
      </c>
      <c r="T611" s="1871"/>
      <c r="V611" s="2004"/>
      <c r="W611" s="2005"/>
      <c r="X611" s="2005"/>
      <c r="AZ611" s="1937" t="s">
        <v>6698</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57600</v>
      </c>
      <c r="F612" s="2039"/>
      <c r="G612" s="1871">
        <f>'Part IV-A-Uses of Funds'!G109</f>
        <v>57600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57600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6581</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6581</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6699</v>
      </c>
      <c r="BA616" s="1857">
        <v>113</v>
      </c>
    </row>
    <row r="617" spans="1:53" s="1856" customFormat="1" ht="12.6" customHeight="1">
      <c r="F617" s="2007" t="s">
        <v>183</v>
      </c>
      <c r="G617" s="2002">
        <f>SUM(G608:G616)</f>
        <v>148100</v>
      </c>
      <c r="H617" s="2002"/>
      <c r="J617" s="1889"/>
      <c r="K617" s="1889"/>
      <c r="L617" s="1889"/>
      <c r="M617" s="1889"/>
      <c r="N617" s="1889"/>
      <c r="P617" s="1889"/>
      <c r="Q617" s="1889"/>
      <c r="S617" s="2002">
        <f>SUM(S608:S616)</f>
        <v>148100</v>
      </c>
      <c r="T617" s="2002"/>
      <c r="V617" s="2004">
        <f>SUM(V608:V616)</f>
        <v>0</v>
      </c>
      <c r="W617" s="2043"/>
      <c r="X617" s="2043"/>
      <c r="AZ617" s="1937" t="s">
        <v>6700</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28000</v>
      </c>
      <c r="H619" s="1871"/>
      <c r="J619" s="2002"/>
      <c r="K619" s="2002"/>
      <c r="L619" s="1889"/>
      <c r="M619" s="2002"/>
      <c r="N619" s="2002"/>
      <c r="P619" s="2002"/>
      <c r="Q619" s="2002"/>
      <c r="S619" s="1871">
        <f>'Part IV-A-Uses of Funds'!S116</f>
        <v>28000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6581</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28000</v>
      </c>
      <c r="H623" s="2002"/>
      <c r="J623" s="2002"/>
      <c r="K623" s="2002"/>
      <c r="L623" s="1889"/>
      <c r="M623" s="2002"/>
      <c r="N623" s="2002"/>
      <c r="P623" s="2002"/>
      <c r="Q623" s="2002"/>
      <c r="S623" s="2002">
        <f>SUM(S619:S622)</f>
        <v>28000</v>
      </c>
      <c r="T623" s="2002"/>
      <c r="V623" s="2004">
        <f>SUM(V619:V622)</f>
        <v>0</v>
      </c>
      <c r="W623" s="2005"/>
      <c r="X623" s="2005"/>
      <c r="AC623" s="1950" t="s">
        <v>4114</v>
      </c>
      <c r="AD623" s="1950" t="s">
        <v>4115</v>
      </c>
      <c r="AE623" s="1950" t="s">
        <v>4120</v>
      </c>
      <c r="AF623" s="1864" t="s">
        <v>4116</v>
      </c>
      <c r="AZ623" s="1924"/>
      <c r="BA623" s="1857">
        <v>120</v>
      </c>
    </row>
    <row r="624" spans="1:53" s="1856" customFormat="1" ht="13.35" customHeight="1">
      <c r="B624" s="1856" t="s">
        <v>270</v>
      </c>
      <c r="D624" s="1989" t="s">
        <v>4117</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4105</v>
      </c>
      <c r="Z624" s="1967"/>
      <c r="AA624" s="2044" t="s">
        <v>4111</v>
      </c>
      <c r="AB624" s="2044" t="s">
        <v>4112</v>
      </c>
      <c r="AC624" s="1950"/>
      <c r="AD624" s="1950"/>
      <c r="AE624" s="1950"/>
      <c r="AF624" s="1864"/>
      <c r="AI624" s="1924"/>
      <c r="AK624" s="2045"/>
      <c r="AZ624" s="1924" t="s">
        <v>6701</v>
      </c>
      <c r="BA624" s="1868">
        <v>121</v>
      </c>
    </row>
    <row r="625" spans="1:53" s="1856" customFormat="1" ht="12.6" customHeight="1">
      <c r="B625" s="1856" t="s">
        <v>1774</v>
      </c>
      <c r="F625" s="1984">
        <f>IF($G$127=0,0,G625/$G$127)</f>
        <v>0</v>
      </c>
      <c r="G625" s="1871">
        <f>'Part IV-A-Uses of Funds'!G122</f>
        <v>840000</v>
      </c>
      <c r="H625" s="1871"/>
      <c r="J625" s="1871">
        <f>'Part IV-A-Uses of Funds'!J122</f>
        <v>840000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1280000</v>
      </c>
      <c r="AI625" s="1924"/>
      <c r="AZ625" s="1924"/>
      <c r="BA625" s="1857">
        <v>122</v>
      </c>
    </row>
    <row r="626" spans="1:53" s="1856" customFormat="1" ht="12.6" customHeight="1">
      <c r="B626" s="1856" t="s">
        <v>3564</v>
      </c>
      <c r="F626" s="2050">
        <f>'Part IV-A-Uses of Funds'!F123</f>
        <v>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30000</v>
      </c>
      <c r="AF627" s="2049"/>
      <c r="AI627" s="1924"/>
      <c r="AZ627" s="1924"/>
      <c r="BA627" s="1857">
        <v>124</v>
      </c>
    </row>
    <row r="628" spans="1:53" s="1856" customFormat="1" ht="12.6" customHeight="1">
      <c r="B628" s="1856" t="s">
        <v>3284</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840000</v>
      </c>
      <c r="H629" s="1871"/>
      <c r="J629" s="1871">
        <f>'Part IV-A-Uses of Funds'!J126</f>
        <v>840000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4113</v>
      </c>
      <c r="E630" s="2054" t="str">
        <f>IF(E624="9%",AF625,IF(E624="4%",AF628,"Enter app type!"))</f>
        <v>Enter app type!</v>
      </c>
      <c r="F630" s="2007" t="s">
        <v>183</v>
      </c>
      <c r="G630" s="2002">
        <f>SUM(G625:G629)</f>
        <v>1680000</v>
      </c>
      <c r="H630" s="2002"/>
      <c r="J630" s="2002">
        <f>SUM(J625:J629)</f>
        <v>1680000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6702</v>
      </c>
      <c r="BA631" s="1857">
        <v>128</v>
      </c>
    </row>
    <row r="632" spans="1:53" s="1856" customFormat="1" ht="12.6" customHeight="1">
      <c r="B632" s="1856" t="s">
        <v>240</v>
      </c>
      <c r="G632" s="1871">
        <f>'Part IV-A-Uses of Funds'!G129</f>
        <v>50000</v>
      </c>
      <c r="H632" s="1871"/>
      <c r="J632" s="2038"/>
      <c r="K632" s="2038"/>
      <c r="L632" s="2038"/>
      <c r="M632" s="2038"/>
      <c r="N632" s="2038"/>
      <c r="P632" s="2038"/>
      <c r="Q632" s="2038"/>
      <c r="S632" s="1871">
        <f>'Part IV-A-Uses of Funds'!S129</f>
        <v>50000</v>
      </c>
      <c r="T632" s="1871"/>
      <c r="V632" s="2004"/>
      <c r="W632" s="2005"/>
      <c r="X632" s="2005"/>
      <c r="Y632" s="1950" t="s">
        <v>4107</v>
      </c>
      <c r="Z632" s="2055"/>
      <c r="AB632" s="2045"/>
      <c r="AC632" s="1924"/>
      <c r="AD632" s="1924"/>
      <c r="AF632" s="1924"/>
      <c r="AG632" s="1924"/>
      <c r="AH632" s="1924"/>
      <c r="AI632" s="1924"/>
      <c r="AJ632" s="1924"/>
      <c r="AK632" s="1924"/>
      <c r="AZ632" s="1937" t="s">
        <v>6703</v>
      </c>
      <c r="BA632" s="1857">
        <v>129</v>
      </c>
    </row>
    <row r="633" spans="1:53" s="1856" customFormat="1" ht="12.6" customHeight="1">
      <c r="B633" s="1856" t="s">
        <v>1474</v>
      </c>
      <c r="F633" s="2010">
        <f>+'Part VI-Revenues &amp; Expenses'!$Q$225*('DCA Underwriting Assumptions'!$Q$127/12)</f>
        <v>83895.5</v>
      </c>
      <c r="G633" s="1871">
        <f>'Part IV-A-Uses of Funds'!G130</f>
        <v>83896</v>
      </c>
      <c r="H633" s="1871"/>
      <c r="J633" s="2056" t="str">
        <f>IF(E633&gt;G633,"WARNING! Rent-Up Reserves proposed is below minimum - add comment.","")</f>
        <v/>
      </c>
      <c r="K633" s="2056"/>
      <c r="L633" s="1889"/>
      <c r="M633" s="2002"/>
      <c r="N633" s="2002"/>
      <c r="P633" s="2002"/>
      <c r="Q633" s="2002"/>
      <c r="S633" s="1871">
        <f>'Part IV-A-Uses of Funds'!S130</f>
        <v>83896</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238424.25214869034</v>
      </c>
      <c r="G634" s="1871">
        <f>'Part IV-A-Uses of Funds'!G131</f>
        <v>238424</v>
      </c>
      <c r="H634" s="1871"/>
      <c r="J634" s="2056" t="str">
        <f>IF(E634&gt;G634,"WARNING! ODR proposed is below minimum - add comment.","")</f>
        <v/>
      </c>
      <c r="K634" s="2038"/>
      <c r="L634" s="2038"/>
      <c r="M634" s="2038"/>
      <c r="N634" s="2038"/>
      <c r="P634" s="2038"/>
      <c r="Q634" s="2038"/>
      <c r="S634" s="1871">
        <f>'Part IV-A-Uses of Funds'!S131</f>
        <v>238424</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6704</v>
      </c>
      <c r="BA635" s="1857">
        <v>132</v>
      </c>
    </row>
    <row r="636" spans="1:53" s="1856" customFormat="1" ht="12.6" customHeight="1">
      <c r="B636" s="1856" t="s">
        <v>1199</v>
      </c>
      <c r="E636" s="2009" t="s">
        <v>3258</v>
      </c>
      <c r="F636" s="2010">
        <f>IF('Part VI-Revenues &amp; Expenses'!$P$67=0,0,G636/'Part VI-Revenues &amp; Expenses'!$P$67)</f>
        <v>1736.1111111111111</v>
      </c>
      <c r="G636" s="1871">
        <f>'Part IV-A-Uses of Funds'!G133</f>
        <v>125000</v>
      </c>
      <c r="H636" s="1871"/>
      <c r="J636" s="1871">
        <f>'Part IV-A-Uses of Funds'!J133</f>
        <v>125000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6705</v>
      </c>
      <c r="BA636" s="1857">
        <v>133</v>
      </c>
    </row>
    <row r="637" spans="1:53" s="1856" customFormat="1" ht="12.6" customHeight="1">
      <c r="A637" s="2006" t="str">
        <f>IF(AND(G637&gt;0,OR(C637="",C637="&lt;Enter detailed description here; use Comments section if needed&gt;")),"X","")</f>
        <v/>
      </c>
      <c r="B637" s="1864" t="s">
        <v>6581</v>
      </c>
      <c r="C637" s="1869" t="str">
        <f>'Part IV-A-Uses of Funds'!C134</f>
        <v>Tax and Insurance Escrow</v>
      </c>
      <c r="D637" s="1869"/>
      <c r="E637" s="1869"/>
      <c r="F637" s="1869"/>
      <c r="G637" s="1871">
        <f>'Part IV-A-Uses of Funds'!G134</f>
        <v>60000</v>
      </c>
      <c r="H637" s="1871"/>
      <c r="J637" s="1871">
        <f>'Part IV-A-Uses of Funds'!J134</f>
        <v>0</v>
      </c>
      <c r="K637" s="1871"/>
      <c r="L637" s="1889"/>
      <c r="M637" s="1871">
        <f>'Part IV-A-Uses of Funds'!M134</f>
        <v>0</v>
      </c>
      <c r="N637" s="1871"/>
      <c r="P637" s="1871">
        <f>'Part IV-A-Uses of Funds'!P134</f>
        <v>0</v>
      </c>
      <c r="Q637" s="1871"/>
      <c r="S637" s="1871">
        <f>'Part IV-A-Uses of Funds'!S134</f>
        <v>60000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557320</v>
      </c>
      <c r="H638" s="2002"/>
      <c r="J638" s="2002">
        <f>SUM(J636:J637)</f>
        <v>125000</v>
      </c>
      <c r="K638" s="2002"/>
      <c r="L638" s="1889"/>
      <c r="M638" s="2002">
        <f>SUM(M636:M637)</f>
        <v>0</v>
      </c>
      <c r="N638" s="2002"/>
      <c r="P638" s="2002">
        <f>SUM(P636:P637)</f>
        <v>0</v>
      </c>
      <c r="Q638" s="2002"/>
      <c r="S638" s="2002">
        <f>SUM(S632:S637)</f>
        <v>432320</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7105</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6581</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7106</v>
      </c>
      <c r="E649" s="2009"/>
      <c r="F649" s="2062"/>
      <c r="G649" s="2002">
        <f>G521+G527+G531+G539+G544+G549+G558+G576+G589+G595+G606+G617+G623+G630+G638+G647</f>
        <v>15931770.43</v>
      </c>
      <c r="H649" s="2002"/>
      <c r="J649" s="2002">
        <f>J521+J527+J531+J539+J544+J549+J558+J576+J589+J595+J606+J617+J623+J630+J638+J647</f>
        <v>13900224.43</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2031546</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7035</v>
      </c>
      <c r="C651" s="2021"/>
      <c r="D651" s="2063">
        <f>IF('Part VI-Revenues &amp; Expenses'!$P$67=0,0,G649/'Part VI-Revenues &amp; Expenses'!$P$67)</f>
        <v>221274.58930555556</v>
      </c>
      <c r="E651" s="2063"/>
      <c r="F651" s="2057" t="s">
        <v>2593</v>
      </c>
      <c r="G651" s="2063">
        <f>IF('Part I-Project Information'!$P$70=0,0,G649/'Part I-Project Information'!$P$70)</f>
        <v>228.95738143826168</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3342</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13900224.43</v>
      </c>
      <c r="K665" s="1982"/>
      <c r="M665" s="1982">
        <f>M649</f>
        <v>0</v>
      </c>
      <c r="N665" s="1982"/>
      <c r="P665" s="1982">
        <f>P649</f>
        <v>0</v>
      </c>
      <c r="Q665" s="1982"/>
      <c r="R665" s="2067" t="s">
        <v>3931</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13900224.43</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State Boost</v>
      </c>
      <c r="I668" s="1863"/>
      <c r="J668" s="2068">
        <f>'Part IV-A-Uses of Funds'!J165</f>
        <v>1</v>
      </c>
      <c r="K668" s="2068"/>
      <c r="M668" s="2069"/>
      <c r="N668" s="2069"/>
      <c r="P668" s="2068">
        <f>'Part IV-A-Uses of Funds'!P165</f>
        <v>0</v>
      </c>
      <c r="Q668" s="2068"/>
      <c r="R668" s="2070" t="str">
        <f>'Part IV-A-Uses of Funds'!R165</f>
        <v>Multifamily projects in areas qualifying for 2+ Stable Communities pts</v>
      </c>
      <c r="S668" s="2070"/>
      <c r="T668" s="2070"/>
      <c r="V668" s="2004"/>
      <c r="W668" s="2005"/>
      <c r="X668" s="2005"/>
      <c r="AZ668" s="1937"/>
    </row>
    <row r="669" spans="2:52" s="1856" customFormat="1" ht="14.1" customHeight="1">
      <c r="B669" s="1856" t="s">
        <v>1962</v>
      </c>
      <c r="J669" s="1982">
        <f>J667*J668</f>
        <v>13900224.43</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0.88888888888888884</v>
      </c>
      <c r="K670" s="2069"/>
      <c r="M670" s="2069">
        <f>MIN('Part VI-Revenues &amp; Expenses'!$P$63/'Part VI-Revenues &amp; Expenses'!$P$65,'Part VI-Revenues &amp; Expenses'!$P$164/'Part VI-Revenues &amp; Expenses'!$P$166)</f>
        <v>0.88888888888888884</v>
      </c>
      <c r="N670" s="2069"/>
      <c r="P670" s="2069">
        <f>MIN('Part VI-Revenues &amp; Expenses'!$P$63/'Part VI-Revenues &amp; Expenses'!$P$65,'Part VI-Revenues &amp; Expenses'!$P$164/'Part VI-Revenues &amp; Expenses'!$P$166)</f>
        <v>0.88888888888888884</v>
      </c>
      <c r="Q670" s="2069"/>
      <c r="R670" s="2070"/>
      <c r="S670" s="2070"/>
      <c r="T670" s="2070"/>
      <c r="V670" s="2004"/>
      <c r="W670" s="2005"/>
      <c r="X670" s="2005"/>
      <c r="AZ670" s="1937"/>
    </row>
    <row r="671" spans="2:52" s="1856" customFormat="1" ht="14.1" customHeight="1">
      <c r="B671" s="1856" t="s">
        <v>1953</v>
      </c>
      <c r="J671" s="1982">
        <f>J669*J670</f>
        <v>12355755.048888888</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2424</v>
      </c>
      <c r="J673" s="1982">
        <f>J671*J672</f>
        <v>1112017.9543999999</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1112017</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4128</v>
      </c>
      <c r="H678" s="2073"/>
      <c r="I678" s="2073"/>
      <c r="M678" s="2074"/>
      <c r="O678" s="1868"/>
      <c r="P678" s="1868"/>
      <c r="Q678" s="1868"/>
      <c r="R678" s="1868"/>
      <c r="S678" s="1868"/>
      <c r="T678" s="1868"/>
      <c r="U678" s="1868"/>
      <c r="V678" s="1868"/>
    </row>
    <row r="679" spans="1:52" s="1937" customFormat="1" ht="15" customHeight="1">
      <c r="B679" s="1937" t="s">
        <v>7107</v>
      </c>
      <c r="J679" s="2075">
        <f>G649</f>
        <v>15931770.43</v>
      </c>
      <c r="K679" s="2075"/>
      <c r="L679" s="2075"/>
      <c r="V679" s="2076"/>
      <c r="W679" s="2077"/>
    </row>
    <row r="680" spans="1:52" s="1937" customFormat="1" ht="13.5" customHeight="1">
      <c r="B680" s="1937" t="s">
        <v>4132</v>
      </c>
      <c r="J680" s="2075">
        <f>'Part IV-A-Uses of Funds'!$G$92+'Part IV-A-Uses of Funds'!$G$114+SUM('Part IV-A-Uses of Funds'!$G$130:$H$132)</f>
        <v>723067.42999999993</v>
      </c>
      <c r="K680" s="2075"/>
      <c r="L680" s="2075"/>
      <c r="V680" s="2076"/>
      <c r="W680" s="2077"/>
    </row>
    <row r="681" spans="1:52" s="1937" customFormat="1" ht="13.5" customHeight="1">
      <c r="B681" s="1935" t="s">
        <v>4131</v>
      </c>
      <c r="J681" s="2075">
        <f>J679-J680</f>
        <v>15208703</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16573480.4</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4133</v>
      </c>
      <c r="J685" s="1894">
        <f>'Part IV-A-Uses of Funds'!J182</f>
        <v>15931770.43</v>
      </c>
      <c r="K685" s="1894"/>
      <c r="L685" s="1894"/>
      <c r="M685" s="2067" t="s">
        <v>4144</v>
      </c>
      <c r="N685" s="2067"/>
      <c r="O685" s="2067"/>
      <c r="P685" s="2067"/>
      <c r="Q685" s="2067"/>
      <c r="R685" s="2067"/>
      <c r="S685" s="2067" t="s">
        <v>3313</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2289002</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13642768.43</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1364276.8429999999</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7036</v>
      </c>
      <c r="J691" s="2082">
        <f>N691+Q691</f>
        <v>1.35</v>
      </c>
      <c r="K691" s="2082"/>
      <c r="L691" s="2082"/>
      <c r="M691" s="1857" t="s">
        <v>1241</v>
      </c>
      <c r="N691" s="2083">
        <f>'Part IV-A-Uses of Funds'!N188</f>
        <v>0.85</v>
      </c>
      <c r="O691" s="2083"/>
      <c r="P691" s="1857" t="s">
        <v>583</v>
      </c>
      <c r="Q691" s="2083">
        <f>'Part IV-A-Uses of Funds'!Q188</f>
        <v>0.5</v>
      </c>
      <c r="R691" s="2083"/>
      <c r="V691" s="2004"/>
      <c r="W691" s="2005"/>
      <c r="X691" s="2005"/>
      <c r="AZ691" s="1937"/>
    </row>
    <row r="692" spans="1:52" s="1856" customFormat="1" ht="14.1" customHeight="1">
      <c r="B692" s="1856" t="s">
        <v>1374</v>
      </c>
      <c r="J692" s="1982">
        <f>ROUNDDOWN(IF(J691=0,"",J689/J691),0)</f>
        <v>1010575</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4129</v>
      </c>
      <c r="H694" s="2059"/>
      <c r="I694" s="2059"/>
      <c r="M694" s="2072"/>
      <c r="Q694" s="1864" t="s">
        <v>6539</v>
      </c>
      <c r="R694" s="1864"/>
      <c r="S694" s="1864" t="str">
        <f>'Part I-Project Information'!$H$105</f>
        <v>Other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7108</v>
      </c>
      <c r="J696" s="1894">
        <f>'Part IV-A-Uses of Funds'!J193</f>
        <v>1010575</v>
      </c>
      <c r="K696" s="1894"/>
      <c r="L696" s="1894"/>
      <c r="M696" s="1865"/>
      <c r="Q696" s="1967" t="s">
        <v>367</v>
      </c>
      <c r="R696" s="1864"/>
      <c r="S696" s="1864" t="str">
        <f>'Part IX Scoring Criteria'!$M$43</f>
        <v>New Supply</v>
      </c>
      <c r="T696" s="1864"/>
      <c r="U696" s="1857" t="str">
        <f>IF(OR(S694="Atlanta Metro", "Other Metro"), "Metro", IF(S694="Rural","Rural",""))</f>
        <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7037</v>
      </c>
      <c r="J698" s="1894">
        <f>'Part IV-A-Uses of Funds'!J195</f>
        <v>1000000</v>
      </c>
      <c r="K698" s="1894"/>
      <c r="L698" s="1894"/>
      <c r="M698" s="1907" t="str">
        <f>IF(J696=0,"",IF(J698&gt;J696,"Request can't exceed Maximum - REVISE (Try Round Down)!",""))</f>
        <v/>
      </c>
      <c r="N698" s="1907"/>
      <c r="O698" s="1907"/>
      <c r="P698" s="1907"/>
      <c r="Q698" s="1967" t="s">
        <v>4117</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7109</v>
      </c>
      <c r="D700" s="1865"/>
      <c r="E700" s="1865"/>
      <c r="F700" s="1858"/>
      <c r="J700" s="1982">
        <f>IF(J698="",0,+MIN(J696,J698))</f>
        <v>1000000</v>
      </c>
      <c r="K700" s="1982"/>
      <c r="L700" s="1982"/>
      <c r="M700" s="1907"/>
      <c r="N700" s="1907"/>
      <c r="O700" s="1907"/>
      <c r="P700" s="1907"/>
      <c r="Q700" s="1864" t="s">
        <v>6540</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Construction cost estimate is based off historical cost to deliver similar projects that are currenlty under construction with previous company and contractor, and adds some costs due to inflation and current market material cost concerns. 
Local government fees were confirmed by the local government and our construction manager. Water Tap Fees are included in the total impact fee line item as costs assiociated with tap fees are not explicitly broken out by City of Hinesville Water and Sewer.
Construction Interest is calculated based on having to stabilize and hold the property for six months before conversion. A Draw Schedule is provided in Folder 01 Feasibility..
Project selected State Basis Boost above (line 165) due to project qualifying for 2+ pts under Stable Communities, however we are not requesting a State Basis Boost in the basis calculation.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2021-041 - Hunters Haven  -  Flemington  -  Liberty,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3344</v>
      </c>
      <c r="B710" s="2089"/>
      <c r="C710" s="2089"/>
      <c r="D710" s="2089"/>
      <c r="E710" s="2089"/>
      <c r="F710" s="2089"/>
      <c r="G710" s="2089"/>
      <c r="H710" s="2089"/>
    </row>
    <row r="711" spans="1:14" s="2088" customFormat="1" ht="6" customHeight="1"/>
    <row r="712" spans="1:14" s="2088" customFormat="1" ht="38.25" customHeight="1">
      <c r="A712" s="2090" t="s">
        <v>7038</v>
      </c>
      <c r="B712" s="2090"/>
      <c r="C712" s="2090"/>
      <c r="D712" s="2090"/>
      <c r="F712" s="2091" t="s">
        <v>3335</v>
      </c>
      <c r="G712" s="2087"/>
      <c r="H712" s="2091" t="s">
        <v>3336</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3338</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3338</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3338</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3337</v>
      </c>
      <c r="B731" s="2094"/>
      <c r="C731" s="2094"/>
      <c r="D731" s="2094"/>
      <c r="E731" s="2094"/>
      <c r="F731" s="2094"/>
      <c r="G731" s="2094"/>
    </row>
    <row r="732" spans="1:8" s="2093" customFormat="1" ht="41.25" customHeight="1">
      <c r="A732" s="2095" t="str">
        <f>'Part IV-A-Uses of Funds'!$C$46</f>
        <v>Site Lighting</v>
      </c>
      <c r="B732" s="2095"/>
      <c r="C732" s="2095"/>
      <c r="D732" s="2095"/>
      <c r="E732" s="2094"/>
      <c r="F732" s="2096" t="str">
        <f>'Part IV-B-Other Items'!F25</f>
        <v>Fee required for construction of site lighting.</v>
      </c>
      <c r="G732" s="2094"/>
      <c r="H732" s="2096" t="str">
        <f>'Part IV-B-Other Items'!H25</f>
        <v>100% of the work is related to construction work.</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3338</v>
      </c>
      <c r="B735" s="2098">
        <f>'Part IV-A-Uses of Funds'!$G$46</f>
        <v>30000</v>
      </c>
      <c r="C735" s="2097" t="s">
        <v>1710</v>
      </c>
      <c r="D735" s="2098">
        <f>'Part IV-A-Uses of Funds'!$J$46+'Part IV-A-Uses of Funds'!$M$46+'Part IV-A-Uses of Funds'!$P$46</f>
        <v>30000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3338</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3338</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Radon Testing</v>
      </c>
      <c r="B749" s="2095"/>
      <c r="C749" s="2095"/>
      <c r="D749" s="2095"/>
      <c r="F749" s="2096" t="str">
        <f>'Part IV-B-Other Items'!F42</f>
        <v>Radon testing is a requirement of our investors</v>
      </c>
      <c r="G749" s="2094"/>
      <c r="H749" s="2096" t="str">
        <f>'Part IV-B-Other Items'!H42</f>
        <v>100% of the work is related to construction.</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3338</v>
      </c>
      <c r="B752" s="2098">
        <f>'Part IV-A-Uses of Funds'!$G$85</f>
        <v>5500</v>
      </c>
      <c r="C752" s="2097" t="s">
        <v>1710</v>
      </c>
      <c r="D752" s="2098">
        <f>'Part IV-A-Uses of Funds'!$J$85+'Part IV-A-Uses of Funds'!$M$85+'Part IV-A-Uses of Funds'!$P$85</f>
        <v>5500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3338</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7039</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3338</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3338</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7040</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3338</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Tax and Insurance Escrow</v>
      </c>
      <c r="B778" s="2095"/>
      <c r="C778" s="2095"/>
      <c r="D778" s="2095"/>
      <c r="F778" s="2096" t="str">
        <f>'Part IV-B-Other Items'!F71</f>
        <v>First Year tax and insurance reserve is a requirement of our investors.</v>
      </c>
      <c r="G778" s="2094"/>
      <c r="H778" s="2096" t="str">
        <f>'Part IV-B-Other Items'!H71</f>
        <v>This item is not in basis.</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3338</v>
      </c>
      <c r="B781" s="2098">
        <f>'Part IV-A-Uses of Funds'!$G$134</f>
        <v>60000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7041</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3338</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2021-041 Hunters Haven,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South</v>
      </c>
    </row>
    <row r="795" spans="1:25" s="1852" customFormat="1" ht="6" customHeight="1"/>
    <row r="796" spans="1:25" s="1852" customFormat="1" ht="12.75" customHeight="1">
      <c r="A796" s="2106" t="s">
        <v>7110</v>
      </c>
      <c r="O796" s="1856" t="s">
        <v>7111</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DCA - HUD Utility Model</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High-Rise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4</v>
      </c>
      <c r="K803" s="2110">
        <f>'Part V-Utility Allowances'!K12</f>
        <v>5</v>
      </c>
      <c r="L803" s="2110">
        <f>'Part V-Utility Allowances'!L12</f>
        <v>6</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9</v>
      </c>
      <c r="L804" s="2110">
        <f>'Part V-Utility Allowances'!L13</f>
        <v>11</v>
      </c>
      <c r="M804" s="2110">
        <f>'Part V-Utility Allowances'!M13</f>
        <v>0</v>
      </c>
      <c r="O804" s="1818" t="s">
        <v>7042</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18</v>
      </c>
      <c r="L805" s="2110">
        <f>'Part V-Utility Allowances'!L14</f>
        <v>23</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10</v>
      </c>
      <c r="K806" s="2110">
        <f>'Part V-Utility Allowances'!K15</f>
        <v>12</v>
      </c>
      <c r="L806" s="2110">
        <f>'Part V-Utility Allowances'!L15</f>
        <v>16</v>
      </c>
      <c r="M806" s="2110">
        <f>'Part V-Utility Allowances'!M15</f>
        <v>0</v>
      </c>
      <c r="O806" s="1818"/>
      <c r="P806" s="1818"/>
      <c r="Q806" s="1818"/>
    </row>
    <row r="807" spans="1:25" s="1852" customFormat="1" ht="12" customHeight="1">
      <c r="B807" s="1818" t="s">
        <v>3404</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3405</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3406</v>
      </c>
      <c r="C809" s="1818"/>
      <c r="D809" s="1818" t="s">
        <v>1530</v>
      </c>
      <c r="F809" s="2109" t="str">
        <f>'Part V-Utility Allowances'!F18</f>
        <v>X</v>
      </c>
      <c r="G809" s="2109">
        <f>'Part V-Utility Allowances'!G18</f>
        <v>0</v>
      </c>
      <c r="I809" s="2110">
        <f>'Part V-Utility Allowances'!I18</f>
        <v>0</v>
      </c>
      <c r="J809" s="2110">
        <f>'Part V-Utility Allowances'!J18</f>
        <v>21</v>
      </c>
      <c r="K809" s="2110">
        <f>'Part V-Utility Allowances'!K18</f>
        <v>27</v>
      </c>
      <c r="L809" s="2110">
        <f>'Part V-Utility Allowances'!L18</f>
        <v>33</v>
      </c>
      <c r="M809" s="2110">
        <f>'Part V-Utility Allowances'!M18</f>
        <v>0</v>
      </c>
      <c r="O809" s="1818"/>
      <c r="P809" s="1818"/>
      <c r="Q809" s="1818"/>
    </row>
    <row r="810" spans="1:25" s="1852" customFormat="1" ht="12" customHeight="1">
      <c r="B810" s="1818" t="s">
        <v>1321</v>
      </c>
      <c r="C810" s="1818"/>
      <c r="D810" s="1818" t="s">
        <v>6846</v>
      </c>
      <c r="E810" s="2110" t="str">
        <f>'Part V-Utility Allowances'!E19</f>
        <v>Yes</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55</v>
      </c>
      <c r="K813" s="2108">
        <f>IF(SUM(K803:K812)=0,0,IF(OR($D803="&lt;&lt;Select Fuel &gt;&gt;",$D804="&lt;&lt;Select Fuel &gt;&gt;",$D805="&lt;&lt;Select Fuel &gt;&gt;"),"Select Fuel",IF($E810="&lt;Select&gt;","Submeter?",SUM(K803:K812))))</f>
        <v>71</v>
      </c>
      <c r="L813" s="2108">
        <f>IF(SUM(L803:L812)=0,0,IF(OR($D803="&lt;&lt;Select Fuel &gt;&gt;",$D804="&lt;&lt;Select Fuel &gt;&gt;",$D805="&lt;&lt;Select Fuel &gt;&gt;"),"Select Fuel",IF($E810="&lt;Select&gt;","Submeter?",SUM(L803:L812))))</f>
        <v>89</v>
      </c>
      <c r="M813" s="2108">
        <f>IF(SUM(M803:M812)=0,0,IF(OR($D803="&lt;&lt;Select Fuel &gt;&gt;",$D804="&lt;&lt;Select Fuel &gt;&gt;",$D805="&lt;&lt;Select Fuel &gt;&gt;"),"Select Fuel",IF($E810="&lt;Select&gt;","Submeter?",SUM(M803:M812))))</f>
        <v>0</v>
      </c>
    </row>
    <row r="814" spans="1:25" s="1852" customFormat="1" ht="7.5" customHeight="1">
      <c r="O814" s="1856" t="s">
        <v>7111</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7042</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3404</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3405</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3406</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2021-041 Hunters Haven, ,  County</v>
      </c>
      <c r="T842" s="1818" t="str">
        <f>A842</f>
        <v>PART SIX - PROJECTED REVENUES &amp; EXPENSES  -  2021-041 Hunters Haven,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6308</v>
      </c>
      <c r="E844" s="1905"/>
      <c r="F844" s="1905"/>
      <c r="G844" s="1905"/>
      <c r="H844" s="1905"/>
      <c r="I844" s="1905"/>
      <c r="J844" s="1905"/>
      <c r="O844" s="2115" t="s">
        <v>547</v>
      </c>
      <c r="P844" s="2116" t="str">
        <f>'Part I-Project Information'!$O$41</f>
        <v>Hinesville-Fort Stewart</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7112</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3846</v>
      </c>
      <c r="AS845" s="2114" t="s">
        <v>3847</v>
      </c>
      <c r="AT845" s="2114" t="s">
        <v>3848</v>
      </c>
      <c r="AU845" s="2114" t="s">
        <v>3849</v>
      </c>
      <c r="AV845" s="2114" t="s">
        <v>3845</v>
      </c>
      <c r="AW845" s="2114" t="s">
        <v>887</v>
      </c>
      <c r="AX845" s="2114" t="s">
        <v>2210</v>
      </c>
      <c r="AY845" s="2114" t="s">
        <v>2211</v>
      </c>
      <c r="AZ845" s="2114" t="s">
        <v>2212</v>
      </c>
      <c r="BA845" s="2114" t="s">
        <v>2213</v>
      </c>
      <c r="BB845" s="2114" t="s">
        <v>3850</v>
      </c>
      <c r="BC845" s="2114" t="s">
        <v>3851</v>
      </c>
      <c r="BD845" s="2114" t="s">
        <v>3852</v>
      </c>
      <c r="BE845" s="2114" t="s">
        <v>3853</v>
      </c>
      <c r="BF845" s="2114" t="s">
        <v>3854</v>
      </c>
      <c r="BG845" s="2114" t="s">
        <v>122</v>
      </c>
      <c r="BH845" s="2114" t="s">
        <v>2214</v>
      </c>
      <c r="BI845" s="2114" t="s">
        <v>2215</v>
      </c>
      <c r="BJ845" s="2114" t="s">
        <v>2216</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2319</v>
      </c>
      <c r="EE845" s="2114" t="s">
        <v>2320</v>
      </c>
      <c r="EF845" s="2114" t="s">
        <v>2321</v>
      </c>
      <c r="EG845" s="2114" t="s">
        <v>2322</v>
      </c>
      <c r="EH845" s="2114" t="s">
        <v>2323</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7113</v>
      </c>
      <c r="D846" s="1905"/>
      <c r="E846" s="1905"/>
      <c r="F846" s="1905"/>
      <c r="G846" s="2110" t="str">
        <f>'Part VI-Revenues &amp; Expenses'!G6</f>
        <v>&lt;Select&gt;</v>
      </c>
      <c r="H846" s="2119" t="s">
        <v>6311</v>
      </c>
      <c r="I846" s="2119"/>
      <c r="J846" s="2119"/>
      <c r="K846" s="2117" t="s">
        <v>3256</v>
      </c>
      <c r="L846" s="2120" t="str">
        <f>'Part I-Project Information'!$B$7</f>
        <v>2021 Core Application</v>
      </c>
      <c r="M846" s="2120"/>
      <c r="N846" s="2120"/>
      <c r="O846" s="2121" t="s">
        <v>7043</v>
      </c>
      <c r="P846" s="2122">
        <f>'Part VI-Revenues &amp; Expenses'!P6</f>
        <v>50200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6586</v>
      </c>
      <c r="MQ846" s="2114" t="s">
        <v>6587</v>
      </c>
      <c r="MR846" s="2114" t="s">
        <v>6588</v>
      </c>
      <c r="MS846" s="2114" t="s">
        <v>6589</v>
      </c>
      <c r="MT846" s="2114" t="s">
        <v>6590</v>
      </c>
      <c r="NP846" s="2113"/>
    </row>
    <row r="847" spans="1:380" s="1818" customFormat="1" ht="12.6" customHeight="1">
      <c r="A847" s="2118"/>
      <c r="B847" s="2123" t="s">
        <v>6310</v>
      </c>
      <c r="G847" s="2110" t="str">
        <f>'Part VI-Revenues &amp; Expenses'!G7</f>
        <v>No</v>
      </c>
      <c r="I847" s="1719" t="s">
        <v>4278</v>
      </c>
      <c r="J847" s="2117" t="s">
        <v>765</v>
      </c>
      <c r="K847" s="2117" t="s">
        <v>3306</v>
      </c>
      <c r="L847" s="2120"/>
      <c r="M847" s="2120"/>
      <c r="N847" s="2120"/>
      <c r="O847" s="2124" t="s">
        <v>6286</v>
      </c>
      <c r="P847" s="2125">
        <f>'Part VI-Revenues &amp; Expenses'!P7</f>
        <v>43922</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3307</v>
      </c>
      <c r="N848" s="2126" t="s">
        <v>6808</v>
      </c>
      <c r="O848" s="1942" t="str">
        <f>'Part VI-Revenues &amp; Expenses'!O8</f>
        <v>Novagradac</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6306</v>
      </c>
      <c r="H849" s="2488" t="s">
        <v>3441</v>
      </c>
      <c r="I849" s="1719"/>
      <c r="J849" s="2127" t="s">
        <v>6297</v>
      </c>
      <c r="K849" s="2117" t="s">
        <v>7114</v>
      </c>
      <c r="L849" s="1719" t="s">
        <v>138</v>
      </c>
      <c r="M849" s="1719"/>
      <c r="N849" s="2117" t="s">
        <v>2262</v>
      </c>
      <c r="O849" s="2117" t="s">
        <v>6811</v>
      </c>
      <c r="P849" s="2114" t="s">
        <v>7115</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6591</v>
      </c>
      <c r="IZ849" s="2114" t="s">
        <v>6591</v>
      </c>
      <c r="JA849" s="2114" t="s">
        <v>6591</v>
      </c>
      <c r="JB849" s="2114" t="s">
        <v>6591</v>
      </c>
      <c r="JC849" s="2114" t="s">
        <v>6591</v>
      </c>
      <c r="JD849" s="2114" t="s">
        <v>6592</v>
      </c>
      <c r="JE849" s="2114" t="s">
        <v>6592</v>
      </c>
      <c r="JF849" s="2114" t="s">
        <v>6592</v>
      </c>
      <c r="JG849" s="2114" t="s">
        <v>6592</v>
      </c>
      <c r="JH849" s="2114" t="s">
        <v>6592</v>
      </c>
      <c r="JI849" s="2114" t="s">
        <v>6594</v>
      </c>
      <c r="JJ849" s="2114" t="s">
        <v>6594</v>
      </c>
      <c r="JK849" s="2114" t="s">
        <v>6594</v>
      </c>
      <c r="JL849" s="2114" t="s">
        <v>6594</v>
      </c>
      <c r="JM849" s="2114" t="s">
        <v>6594</v>
      </c>
      <c r="JN849" s="2114" t="s">
        <v>6595</v>
      </c>
      <c r="JO849" s="2114" t="s">
        <v>6595</v>
      </c>
      <c r="JP849" s="2114" t="s">
        <v>6595</v>
      </c>
      <c r="JQ849" s="2114" t="s">
        <v>6595</v>
      </c>
      <c r="JR849" s="2114" t="s">
        <v>6595</v>
      </c>
      <c r="JS849" s="2114" t="s">
        <v>6596</v>
      </c>
      <c r="JT849" s="2114" t="s">
        <v>6596</v>
      </c>
      <c r="JU849" s="2114" t="s">
        <v>6596</v>
      </c>
      <c r="JV849" s="2114" t="s">
        <v>6596</v>
      </c>
      <c r="JW849" s="2114" t="s">
        <v>6596</v>
      </c>
      <c r="JX849" s="2114" t="s">
        <v>6812</v>
      </c>
      <c r="JY849" s="2114" t="s">
        <v>6812</v>
      </c>
      <c r="JZ849" s="2114" t="s">
        <v>6812</v>
      </c>
      <c r="KA849" s="2114" t="s">
        <v>6812</v>
      </c>
      <c r="KB849" s="2114" t="s">
        <v>6812</v>
      </c>
      <c r="KC849" s="2114" t="s">
        <v>7044</v>
      </c>
      <c r="KD849" s="2114" t="s">
        <v>7044</v>
      </c>
      <c r="KE849" s="2114" t="s">
        <v>7044</v>
      </c>
      <c r="KF849" s="2114" t="s">
        <v>7044</v>
      </c>
      <c r="KG849" s="2114" t="s">
        <v>7044</v>
      </c>
      <c r="KH849" s="2114" t="s">
        <v>7045</v>
      </c>
      <c r="KI849" s="2114" t="s">
        <v>7045</v>
      </c>
      <c r="KJ849" s="2114" t="s">
        <v>7045</v>
      </c>
      <c r="KK849" s="2114" t="s">
        <v>7045</v>
      </c>
      <c r="KL849" s="2114" t="s">
        <v>7045</v>
      </c>
      <c r="KM849" s="2114" t="s">
        <v>6598</v>
      </c>
      <c r="KN849" s="2114" t="s">
        <v>6598</v>
      </c>
      <c r="KO849" s="2114" t="s">
        <v>6598</v>
      </c>
      <c r="KP849" s="2114" t="s">
        <v>6598</v>
      </c>
      <c r="KQ849" s="2114" t="s">
        <v>6598</v>
      </c>
      <c r="KR849" s="2114" t="s">
        <v>6813</v>
      </c>
      <c r="KS849" s="2114" t="s">
        <v>6813</v>
      </c>
      <c r="KT849" s="2114" t="s">
        <v>6813</v>
      </c>
      <c r="KU849" s="2114" t="s">
        <v>6813</v>
      </c>
      <c r="KV849" s="2114" t="s">
        <v>6813</v>
      </c>
      <c r="KW849" s="2114" t="s">
        <v>7046</v>
      </c>
      <c r="KX849" s="2114" t="s">
        <v>7046</v>
      </c>
      <c r="KY849" s="2114" t="s">
        <v>7046</v>
      </c>
      <c r="KZ849" s="2114" t="s">
        <v>7046</v>
      </c>
      <c r="LA849" s="2114" t="s">
        <v>7046</v>
      </c>
      <c r="LB849" s="2114" t="s">
        <v>7047</v>
      </c>
      <c r="LC849" s="2114" t="s">
        <v>7047</v>
      </c>
      <c r="LD849" s="2114" t="s">
        <v>7047</v>
      </c>
      <c r="LE849" s="2114" t="s">
        <v>7047</v>
      </c>
      <c r="LF849" s="2114" t="s">
        <v>7047</v>
      </c>
      <c r="MK849" s="1719"/>
      <c r="ML849" s="1719"/>
      <c r="MM849" s="1719"/>
      <c r="MN849" s="1719"/>
      <c r="MO849" s="1719"/>
      <c r="NP849" s="1926"/>
    </row>
    <row r="850" spans="1:380" s="2114" customFormat="1" ht="11.25" customHeight="1">
      <c r="A850" s="2118"/>
      <c r="B850" s="2128" t="s">
        <v>4126</v>
      </c>
      <c r="C850" s="2117" t="s">
        <v>163</v>
      </c>
      <c r="D850" s="2117" t="s">
        <v>165</v>
      </c>
      <c r="E850" s="2117" t="s">
        <v>1418</v>
      </c>
      <c r="F850" s="2117" t="s">
        <v>1231</v>
      </c>
      <c r="G850" s="1719"/>
      <c r="H850" s="2117" t="s">
        <v>6307</v>
      </c>
      <c r="I850" s="1719"/>
      <c r="J850" s="2127"/>
      <c r="K850" s="2129" t="s">
        <v>338</v>
      </c>
      <c r="L850" s="2117" t="s">
        <v>1469</v>
      </c>
      <c r="M850" s="2117" t="s">
        <v>513</v>
      </c>
      <c r="N850" s="2117" t="s">
        <v>1417</v>
      </c>
      <c r="O850" s="2117" t="s">
        <v>6828</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6718</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6719</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6720</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6721</v>
      </c>
    </row>
    <row r="855" spans="1:380" s="1852" customFormat="1" ht="13.9" customHeight="1">
      <c r="A855" s="2108" t="str">
        <f t="shared" si="327"/>
        <v/>
      </c>
      <c r="B855" s="2130" t="str">
        <f>'Part VI-Revenues &amp; Expenses'!B15</f>
        <v>Unrestricted</v>
      </c>
      <c r="C855" s="2131">
        <f>'Part VI-Revenues &amp; Expenses'!C15</f>
        <v>1</v>
      </c>
      <c r="D855" s="2132">
        <f>'Part VI-Revenues &amp; Expenses'!D15</f>
        <v>1</v>
      </c>
      <c r="E855" s="2133">
        <f>'Part VI-Revenues &amp; Expenses'!E15</f>
        <v>2</v>
      </c>
      <c r="F855" s="2133">
        <f>'Part VI-Revenues &amp; Expenses'!F15</f>
        <v>668</v>
      </c>
      <c r="G855" s="2133" t="str">
        <f>'Part VI-Revenues &amp; Expenses'!G15</f>
        <v>NA</v>
      </c>
      <c r="H855" s="2133">
        <f>'Part VI-Revenues &amp; Expenses'!H15</f>
        <v>900</v>
      </c>
      <c r="I855" s="2133">
        <f>'Part VI-Revenues &amp; Expenses'!I15</f>
        <v>0</v>
      </c>
      <c r="J855" s="2133">
        <f>'Part VI-Revenues &amp; Expenses'!J15</f>
        <v>0</v>
      </c>
      <c r="K855" s="2134">
        <f>'Part VI-Revenues &amp; Expenses'!K15</f>
        <v>0</v>
      </c>
      <c r="L855" s="2135">
        <f t="shared" si="0"/>
        <v>900</v>
      </c>
      <c r="M855" s="2135">
        <f t="shared" si="1"/>
        <v>1800</v>
      </c>
      <c r="N855" s="1916" t="str">
        <f>'Part VI-Revenues &amp; Expenses'!N15</f>
        <v>No</v>
      </c>
      <c r="O855" s="2136" t="str">
        <f>'Part VI-Revenues &amp; Expenses'!O15</f>
        <v>High-Rise Apt</v>
      </c>
      <c r="P855" s="1916" t="str">
        <f>'Part VI-Revenues &amp; Expenses'!P15</f>
        <v>New Construction</v>
      </c>
      <c r="Q855" s="2137" t="str">
        <f>'Part VI-Revenues &amp; Expenses'!Q15</f>
        <v>No</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f t="shared" si="38"/>
        <v>2</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f t="shared" si="153"/>
        <v>1336</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f t="shared" si="173"/>
        <v>2</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f t="shared" si="213"/>
        <v>2</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f t="shared" si="278"/>
        <v>2</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2</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6722</v>
      </c>
    </row>
    <row r="856" spans="1:380" s="1852" customFormat="1" ht="13.9" customHeight="1">
      <c r="A856" s="2108" t="str">
        <f t="shared" si="327"/>
        <v/>
      </c>
      <c r="B856" s="2130" t="str">
        <f>'Part VI-Revenues &amp; Expenses'!B16</f>
        <v>Unrestricted</v>
      </c>
      <c r="C856" s="2131">
        <f>'Part VI-Revenues &amp; Expenses'!C16</f>
        <v>2</v>
      </c>
      <c r="D856" s="2132">
        <f>'Part VI-Revenues &amp; Expenses'!D16</f>
        <v>2</v>
      </c>
      <c r="E856" s="2133">
        <f>'Part VI-Revenues &amp; Expenses'!E16</f>
        <v>4</v>
      </c>
      <c r="F856" s="2133">
        <f>'Part VI-Revenues &amp; Expenses'!F16</f>
        <v>930</v>
      </c>
      <c r="G856" s="2133" t="str">
        <f>'Part VI-Revenues &amp; Expenses'!G16</f>
        <v>NA</v>
      </c>
      <c r="H856" s="2133">
        <f>'Part VI-Revenues &amp; Expenses'!H16</f>
        <v>1100</v>
      </c>
      <c r="I856" s="2133">
        <f>'Part VI-Revenues &amp; Expenses'!I16</f>
        <v>0</v>
      </c>
      <c r="J856" s="2133">
        <f>'Part VI-Revenues &amp; Expenses'!J16</f>
        <v>0</v>
      </c>
      <c r="K856" s="2134">
        <f>'Part VI-Revenues &amp; Expenses'!K16</f>
        <v>0</v>
      </c>
      <c r="L856" s="2135">
        <f t="shared" si="0"/>
        <v>1100</v>
      </c>
      <c r="M856" s="2135">
        <f t="shared" si="1"/>
        <v>4400</v>
      </c>
      <c r="N856" s="1916" t="str">
        <f>'Part VI-Revenues &amp; Expenses'!N16</f>
        <v>No</v>
      </c>
      <c r="O856" s="2136" t="str">
        <f>'Part VI-Revenues &amp; Expenses'!O16</f>
        <v>High-Rise Apt</v>
      </c>
      <c r="P856" s="1916" t="str">
        <f>'Part VI-Revenues &amp; Expenses'!P16</f>
        <v>New Construction</v>
      </c>
      <c r="Q856" s="2137" t="str">
        <f>'Part VI-Revenues &amp; Expenses'!Q16</f>
        <v>No</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f t="shared" si="39"/>
        <v>4</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f t="shared" si="154"/>
        <v>3720</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f t="shared" si="174"/>
        <v>4</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f t="shared" si="214"/>
        <v>4</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f t="shared" si="279"/>
        <v>4</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4</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6723</v>
      </c>
    </row>
    <row r="857" spans="1:380" s="1852" customFormat="1" ht="13.9" customHeight="1">
      <c r="A857" s="2108" t="str">
        <f t="shared" si="327"/>
        <v/>
      </c>
      <c r="B857" s="2130" t="str">
        <f>'Part VI-Revenues &amp; Expenses'!B17</f>
        <v>Unrestricted</v>
      </c>
      <c r="C857" s="2131">
        <f>'Part VI-Revenues &amp; Expenses'!C17</f>
        <v>3</v>
      </c>
      <c r="D857" s="2132">
        <f>'Part VI-Revenues &amp; Expenses'!D17</f>
        <v>2</v>
      </c>
      <c r="E857" s="2133">
        <f>'Part VI-Revenues &amp; Expenses'!E17</f>
        <v>2</v>
      </c>
      <c r="F857" s="2133">
        <f>'Part VI-Revenues &amp; Expenses'!F17</f>
        <v>1106</v>
      </c>
      <c r="G857" s="2133" t="str">
        <f>'Part VI-Revenues &amp; Expenses'!G17</f>
        <v>NA</v>
      </c>
      <c r="H857" s="2133">
        <f>'Part VI-Revenues &amp; Expenses'!H17</f>
        <v>1250</v>
      </c>
      <c r="I857" s="2133">
        <f>'Part VI-Revenues &amp; Expenses'!I17</f>
        <v>0</v>
      </c>
      <c r="J857" s="2133">
        <f>'Part VI-Revenues &amp; Expenses'!J17</f>
        <v>0</v>
      </c>
      <c r="K857" s="2134">
        <f>'Part VI-Revenues &amp; Expenses'!K17</f>
        <v>0</v>
      </c>
      <c r="L857" s="2135">
        <f t="shared" si="0"/>
        <v>1250</v>
      </c>
      <c r="M857" s="2135">
        <f t="shared" si="1"/>
        <v>2500</v>
      </c>
      <c r="N857" s="1916" t="str">
        <f>'Part VI-Revenues &amp; Expenses'!N17</f>
        <v>No</v>
      </c>
      <c r="O857" s="2136" t="str">
        <f>'Part VI-Revenues &amp; Expenses'!O17</f>
        <v>High-Rise Apt</v>
      </c>
      <c r="P857" s="1916" t="str">
        <f>'Part VI-Revenues &amp; Expenses'!P17</f>
        <v>New Construction</v>
      </c>
      <c r="Q857" s="2137" t="str">
        <f>'Part VI-Revenues &amp; Expenses'!Q17</f>
        <v>No</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f t="shared" si="40"/>
        <v>2</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f t="shared" si="155"/>
        <v>2212</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f t="shared" si="175"/>
        <v>2</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f t="shared" si="215"/>
        <v>2</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f t="shared" si="280"/>
        <v>2</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2</v>
      </c>
      <c r="MO857" s="2051">
        <f t="shared" si="337"/>
        <v>0</v>
      </c>
      <c r="MP857" s="2051">
        <f t="shared" si="322"/>
        <v>0</v>
      </c>
      <c r="MQ857" s="2051">
        <f t="shared" si="323"/>
        <v>0</v>
      </c>
      <c r="MR857" s="2051">
        <f t="shared" si="324"/>
        <v>0</v>
      </c>
      <c r="MS857" s="2051">
        <f t="shared" si="325"/>
        <v>0</v>
      </c>
      <c r="MT857" s="2051">
        <f t="shared" si="326"/>
        <v>0</v>
      </c>
      <c r="NP857" s="1924" t="s">
        <v>6724</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4</v>
      </c>
      <c r="F858" s="2133">
        <f>'Part VI-Revenues &amp; Expenses'!F18</f>
        <v>668</v>
      </c>
      <c r="G858" s="2133">
        <f>'Part VI-Revenues &amp; Expenses'!G18</f>
        <v>513</v>
      </c>
      <c r="H858" s="2133">
        <f>'Part VI-Revenues &amp; Expenses'!H18</f>
        <v>513</v>
      </c>
      <c r="I858" s="2133">
        <f>'Part VI-Revenues &amp; Expenses'!I18</f>
        <v>0</v>
      </c>
      <c r="J858" s="2133">
        <f>'Part VI-Revenues &amp; Expenses'!J18</f>
        <v>55</v>
      </c>
      <c r="K858" s="2134">
        <f>'Part VI-Revenues &amp; Expenses'!K18</f>
        <v>0</v>
      </c>
      <c r="L858" s="2135">
        <f t="shared" si="0"/>
        <v>458</v>
      </c>
      <c r="M858" s="2135">
        <f t="shared" si="1"/>
        <v>1832</v>
      </c>
      <c r="N858" s="1916" t="str">
        <f>'Part VI-Revenues &amp; Expenses'!N18</f>
        <v>No</v>
      </c>
      <c r="O858" s="2136" t="str">
        <f>'Part VI-Revenues &amp; Expenses'!O18</f>
        <v>High-Rise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4</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2672</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4</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4</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f t="shared" si="278"/>
        <v>4</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4</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6725</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8</v>
      </c>
      <c r="F859" s="2133">
        <f>'Part VI-Revenues &amp; Expenses'!F19</f>
        <v>930</v>
      </c>
      <c r="G859" s="2133">
        <f>'Part VI-Revenues &amp; Expenses'!G19</f>
        <v>616</v>
      </c>
      <c r="H859" s="2133">
        <f>'Part VI-Revenues &amp; Expenses'!H19</f>
        <v>616</v>
      </c>
      <c r="I859" s="2133">
        <f>'Part VI-Revenues &amp; Expenses'!I19</f>
        <v>0</v>
      </c>
      <c r="J859" s="2133">
        <f>'Part VI-Revenues &amp; Expenses'!J19</f>
        <v>71</v>
      </c>
      <c r="K859" s="2134">
        <f>'Part VI-Revenues &amp; Expenses'!K19</f>
        <v>0</v>
      </c>
      <c r="L859" s="2135">
        <f t="shared" si="0"/>
        <v>545</v>
      </c>
      <c r="M859" s="2135">
        <f t="shared" si="1"/>
        <v>4360</v>
      </c>
      <c r="N859" s="1916" t="str">
        <f>'Part VI-Revenues &amp; Expenses'!N19</f>
        <v>No</v>
      </c>
      <c r="O859" s="2136" t="str">
        <f>'Part VI-Revenues &amp; Expenses'!O19</f>
        <v>High-Rise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8</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7440</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8</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8</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f t="shared" si="279"/>
        <v>8</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8</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6726</v>
      </c>
    </row>
    <row r="860" spans="1:380" s="1852" customFormat="1" ht="13.9" customHeight="1">
      <c r="A860" s="2108" t="str">
        <f t="shared" si="327"/>
        <v/>
      </c>
      <c r="B860" s="2130">
        <f>'Part VI-Revenues &amp; Expenses'!B20</f>
        <v>50</v>
      </c>
      <c r="C860" s="2131">
        <f>'Part VI-Revenues &amp; Expenses'!C20</f>
        <v>3</v>
      </c>
      <c r="D860" s="2132">
        <f>'Part VI-Revenues &amp; Expenses'!D20</f>
        <v>2</v>
      </c>
      <c r="E860" s="2133">
        <f>'Part VI-Revenues &amp; Expenses'!E20</f>
        <v>4</v>
      </c>
      <c r="F860" s="2133">
        <f>'Part VI-Revenues &amp; Expenses'!F20</f>
        <v>1106</v>
      </c>
      <c r="G860" s="2133">
        <f>'Part VI-Revenues &amp; Expenses'!G20</f>
        <v>711</v>
      </c>
      <c r="H860" s="2133">
        <f>'Part VI-Revenues &amp; Expenses'!H20</f>
        <v>711</v>
      </c>
      <c r="I860" s="2133">
        <f>'Part VI-Revenues &amp; Expenses'!I20</f>
        <v>0</v>
      </c>
      <c r="J860" s="2133">
        <f>'Part VI-Revenues &amp; Expenses'!J20</f>
        <v>89</v>
      </c>
      <c r="K860" s="2134">
        <f>'Part VI-Revenues &amp; Expenses'!K20</f>
        <v>0</v>
      </c>
      <c r="L860" s="2135">
        <f t="shared" si="0"/>
        <v>622</v>
      </c>
      <c r="M860" s="2135">
        <f t="shared" si="1"/>
        <v>2488</v>
      </c>
      <c r="N860" s="1916" t="str">
        <f>'Part VI-Revenues &amp; Expenses'!N20</f>
        <v>No</v>
      </c>
      <c r="O860" s="2136" t="str">
        <f>'Part VI-Revenues &amp; Expenses'!O20</f>
        <v>High-Rise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f t="shared" si="20"/>
        <v>4</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f t="shared" si="135"/>
        <v>4424</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4</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4</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f t="shared" si="280"/>
        <v>4</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4</v>
      </c>
      <c r="MO860" s="2051">
        <f t="shared" si="337"/>
        <v>0</v>
      </c>
      <c r="MP860" s="2051">
        <f t="shared" si="322"/>
        <v>0</v>
      </c>
      <c r="MQ860" s="2051">
        <f t="shared" si="323"/>
        <v>0</v>
      </c>
      <c r="MR860" s="2051">
        <f t="shared" si="324"/>
        <v>0</v>
      </c>
      <c r="MS860" s="2051">
        <f t="shared" si="325"/>
        <v>0</v>
      </c>
      <c r="MT860" s="2051">
        <f t="shared" si="326"/>
        <v>0</v>
      </c>
      <c r="NP860" s="1924" t="s">
        <v>6727</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10</v>
      </c>
      <c r="F861" s="2133">
        <f>'Part VI-Revenues &amp; Expenses'!F21</f>
        <v>668</v>
      </c>
      <c r="G861" s="2133">
        <f>'Part VI-Revenues &amp; Expenses'!G21</f>
        <v>615</v>
      </c>
      <c r="H861" s="2133">
        <f>'Part VI-Revenues &amp; Expenses'!H21</f>
        <v>575</v>
      </c>
      <c r="I861" s="2133">
        <f>'Part VI-Revenues &amp; Expenses'!I21</f>
        <v>0</v>
      </c>
      <c r="J861" s="2133">
        <f>'Part VI-Revenues &amp; Expenses'!J21</f>
        <v>55</v>
      </c>
      <c r="K861" s="2134">
        <f>'Part VI-Revenues &amp; Expenses'!K21</f>
        <v>0</v>
      </c>
      <c r="L861" s="2135">
        <f t="shared" si="0"/>
        <v>520</v>
      </c>
      <c r="M861" s="2135">
        <f t="shared" si="1"/>
        <v>5200</v>
      </c>
      <c r="N861" s="1916" t="str">
        <f>'Part VI-Revenues &amp; Expenses'!N21</f>
        <v>No</v>
      </c>
      <c r="O861" s="2136" t="str">
        <f>'Part VI-Revenues &amp; Expenses'!O21</f>
        <v>High-Rise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10</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6680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10</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10</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f t="shared" si="278"/>
        <v>10</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10</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6728</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28</v>
      </c>
      <c r="F862" s="2133">
        <f>'Part VI-Revenues &amp; Expenses'!F22</f>
        <v>930</v>
      </c>
      <c r="G862" s="2133">
        <f>'Part VI-Revenues &amp; Expenses'!G22</f>
        <v>739</v>
      </c>
      <c r="H862" s="2133">
        <f>'Part VI-Revenues &amp; Expenses'!H22</f>
        <v>696</v>
      </c>
      <c r="I862" s="2133">
        <f>'Part VI-Revenues &amp; Expenses'!I22</f>
        <v>0</v>
      </c>
      <c r="J862" s="2133">
        <f>'Part VI-Revenues &amp; Expenses'!J22</f>
        <v>71</v>
      </c>
      <c r="K862" s="2134">
        <f>'Part VI-Revenues &amp; Expenses'!K22</f>
        <v>0</v>
      </c>
      <c r="L862" s="2135">
        <f t="shared" si="0"/>
        <v>625</v>
      </c>
      <c r="M862" s="2135">
        <f t="shared" si="1"/>
        <v>17500</v>
      </c>
      <c r="N862" s="1916" t="str">
        <f>'Part VI-Revenues &amp; Expenses'!N22</f>
        <v>No</v>
      </c>
      <c r="O862" s="2136" t="str">
        <f>'Part VI-Revenues &amp; Expenses'!O22</f>
        <v>High-Rise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28</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26040</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28</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28</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f t="shared" si="279"/>
        <v>28</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28</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6729</v>
      </c>
    </row>
    <row r="863" spans="1:380" s="1852" customFormat="1" ht="13.9" customHeight="1">
      <c r="A863" s="2108" t="str">
        <f t="shared" si="327"/>
        <v/>
      </c>
      <c r="B863" s="2130">
        <f>'Part VI-Revenues &amp; Expenses'!B23</f>
        <v>60</v>
      </c>
      <c r="C863" s="2131">
        <f>'Part VI-Revenues &amp; Expenses'!C23</f>
        <v>3</v>
      </c>
      <c r="D863" s="2132">
        <f>'Part VI-Revenues &amp; Expenses'!D23</f>
        <v>2</v>
      </c>
      <c r="E863" s="2133">
        <f>'Part VI-Revenues &amp; Expenses'!E23</f>
        <v>10</v>
      </c>
      <c r="F863" s="2133">
        <f>'Part VI-Revenues &amp; Expenses'!F23</f>
        <v>1106</v>
      </c>
      <c r="G863" s="2133">
        <f>'Part VI-Revenues &amp; Expenses'!G23</f>
        <v>853</v>
      </c>
      <c r="H863" s="2133">
        <f>'Part VI-Revenues &amp; Expenses'!H23</f>
        <v>814</v>
      </c>
      <c r="I863" s="2133">
        <f>'Part VI-Revenues &amp; Expenses'!I23</f>
        <v>0</v>
      </c>
      <c r="J863" s="2133">
        <f>'Part VI-Revenues &amp; Expenses'!J23</f>
        <v>89</v>
      </c>
      <c r="K863" s="2134">
        <f>'Part VI-Revenues &amp; Expenses'!K23</f>
        <v>0</v>
      </c>
      <c r="L863" s="2135">
        <f t="shared" si="0"/>
        <v>725</v>
      </c>
      <c r="M863" s="2135">
        <f t="shared" si="1"/>
        <v>7250</v>
      </c>
      <c r="N863" s="1916" t="str">
        <f>'Part VI-Revenues &amp; Expenses'!N23</f>
        <v>No</v>
      </c>
      <c r="O863" s="2136" t="str">
        <f>'Part VI-Revenues &amp; Expenses'!O23</f>
        <v>High-Rise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10</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11060</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10</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f t="shared" si="215"/>
        <v>10</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f t="shared" si="280"/>
        <v>10</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10</v>
      </c>
      <c r="MO863" s="2051">
        <f t="shared" si="337"/>
        <v>0</v>
      </c>
      <c r="MP863" s="2051">
        <f t="shared" si="322"/>
        <v>0</v>
      </c>
      <c r="MQ863" s="2051">
        <f t="shared" si="323"/>
        <v>0</v>
      </c>
      <c r="MR863" s="2051">
        <f t="shared" si="324"/>
        <v>0</v>
      </c>
      <c r="MS863" s="2051">
        <f t="shared" si="325"/>
        <v>0</v>
      </c>
      <c r="MT863" s="2051">
        <f t="shared" si="326"/>
        <v>0</v>
      </c>
      <c r="NP863" s="1924" t="s">
        <v>6730</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6731</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6732</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6733</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6734</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6735</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6736</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6737</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6738</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6739</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6740</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6741</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6742</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6743</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6744</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6745</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6746</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6747</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6748</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6749</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6750</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6751</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6752</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6753</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6754</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6755</v>
      </c>
    </row>
    <row r="889" spans="1:380" s="1852" customFormat="1" ht="13.9" customHeight="1">
      <c r="A889" s="2108">
        <f>COUNT(A851,A852,A853,A854,A855,A856,A857,A858,A859,A860,A861,A862,A863,A864,A865,A866,A867,A868,A869,A870,A871,A872,A873,A874,A875,A876,A877,A878,A879,A880)</f>
        <v>0</v>
      </c>
      <c r="B889" s="435" t="s">
        <v>3922</v>
      </c>
      <c r="C889" s="435"/>
      <c r="D889" s="2141" t="s">
        <v>979</v>
      </c>
      <c r="E889" s="2142">
        <f>SUM(E851:E888)</f>
        <v>72</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65584</v>
      </c>
      <c r="H889" s="2144" t="s">
        <v>3919</v>
      </c>
      <c r="I889" s="2145" t="s">
        <v>3920</v>
      </c>
      <c r="J889" s="2146" t="str">
        <f>IF(P907=0,"",IF(SUM(P898:P902)/P907&gt;=0.4,"Pass","Fail"))</f>
        <v>Pass</v>
      </c>
      <c r="K889" s="436"/>
      <c r="L889" s="2141" t="s">
        <v>1254</v>
      </c>
      <c r="M889" s="2147">
        <f>SUM(M851:M888)</f>
        <v>47330</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10</v>
      </c>
      <c r="AJ889" s="2140">
        <f t="shared" si="338"/>
        <v>28</v>
      </c>
      <c r="AK889" s="2140">
        <f t="shared" si="338"/>
        <v>10</v>
      </c>
      <c r="AL889" s="2140">
        <f t="shared" si="338"/>
        <v>0</v>
      </c>
      <c r="AM889" s="2140">
        <f>SUM(AM851:AM888)</f>
        <v>0</v>
      </c>
      <c r="AN889" s="2140">
        <f>SUM(AN851:AN888)</f>
        <v>4</v>
      </c>
      <c r="AO889" s="2140">
        <f>SUM(AO851:AO888)</f>
        <v>8</v>
      </c>
      <c r="AP889" s="2140">
        <f>SUM(AP851:AP888)</f>
        <v>4</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2</v>
      </c>
      <c r="BI889" s="2140">
        <f t="shared" si="338"/>
        <v>4</v>
      </c>
      <c r="BJ889" s="2140">
        <f t="shared" si="338"/>
        <v>2</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6680</v>
      </c>
      <c r="EU889" s="2140">
        <f t="shared" si="338"/>
        <v>26040</v>
      </c>
      <c r="EV889" s="2140">
        <f t="shared" si="338"/>
        <v>11060</v>
      </c>
      <c r="EW889" s="2140">
        <f t="shared" si="338"/>
        <v>0</v>
      </c>
      <c r="EX889" s="2140">
        <f t="shared" si="338"/>
        <v>0</v>
      </c>
      <c r="EY889" s="2140">
        <f t="shared" si="338"/>
        <v>2672</v>
      </c>
      <c r="EZ889" s="2140">
        <f t="shared" si="338"/>
        <v>7440</v>
      </c>
      <c r="FA889" s="2140">
        <f t="shared" si="338"/>
        <v>4424</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1336</v>
      </c>
      <c r="FT889" s="2140">
        <f t="shared" si="340"/>
        <v>3720</v>
      </c>
      <c r="FU889" s="2140">
        <f t="shared" si="340"/>
        <v>2212</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14</v>
      </c>
      <c r="GI889" s="2140">
        <f t="shared" si="340"/>
        <v>36</v>
      </c>
      <c r="GJ889" s="2140">
        <f t="shared" si="340"/>
        <v>14</v>
      </c>
      <c r="GK889" s="2140">
        <f t="shared" si="340"/>
        <v>0</v>
      </c>
      <c r="GL889" s="2140">
        <f t="shared" si="340"/>
        <v>0</v>
      </c>
      <c r="GM889" s="2140">
        <f t="shared" si="340"/>
        <v>2</v>
      </c>
      <c r="GN889" s="2140">
        <f t="shared" si="340"/>
        <v>4</v>
      </c>
      <c r="GO889" s="2140">
        <f t="shared" si="340"/>
        <v>2</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16</v>
      </c>
      <c r="IB889" s="2140">
        <f t="shared" si="341"/>
        <v>40</v>
      </c>
      <c r="IC889" s="2140">
        <f t="shared" si="341"/>
        <v>16</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16</v>
      </c>
      <c r="KO889" s="2140">
        <f t="shared" si="342"/>
        <v>40</v>
      </c>
      <c r="KP889" s="2140">
        <f t="shared" si="342"/>
        <v>16</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16</v>
      </c>
      <c r="MM889" s="2140">
        <f t="shared" si="342"/>
        <v>40</v>
      </c>
      <c r="MN889" s="2140">
        <f t="shared" si="342"/>
        <v>16</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6756</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v>
      </c>
      <c r="C890" s="2148"/>
      <c r="D890" s="2108" t="s">
        <v>3829</v>
      </c>
      <c r="E890" s="2142">
        <f>SUM(E858:E888)</f>
        <v>64</v>
      </c>
      <c r="F890" s="2143">
        <f>(E858*F858+E859*F859+E860*F860+E861*F861+E862*F862+E863*F863+E864*F864+E865*F865+E866*F866+E867*F867+E868*F868+E869*F869+E870*F870+E871*F871+E872*F872+E873*F873+E874*F874+E875*F875+E876*F876+E877*F877+E878*F878+E879*F879+E880*F880+E881*F881+E882*F882+E883*F883+E884*F884+E885*F885+E886*F886+E887*F887+E888*F888)</f>
        <v>58316</v>
      </c>
      <c r="H890" s="2144"/>
      <c r="I890" s="2145" t="s">
        <v>3921</v>
      </c>
      <c r="J890" s="2146" t="str">
        <f>IF(P907=0,"",IF(SUM(P899:P902)/P907&gt;=0.2,"Pass","Fail"))</f>
        <v>Pass</v>
      </c>
      <c r="K890" s="436"/>
      <c r="L890" s="2141" t="s">
        <v>781</v>
      </c>
      <c r="M890" s="2147">
        <f>M889*12</f>
        <v>567960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6757</v>
      </c>
    </row>
    <row r="891" spans="1:380" s="1852" customFormat="1" ht="12" customHeight="1">
      <c r="A891" s="1864" t="s">
        <v>7116</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6822</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4284</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3308</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10</v>
      </c>
      <c r="M898" s="2152">
        <f>AJ889</f>
        <v>28</v>
      </c>
      <c r="N898" s="2152">
        <f>AK889</f>
        <v>10</v>
      </c>
      <c r="O898" s="2152">
        <f>AL889</f>
        <v>0</v>
      </c>
      <c r="P898" s="2152">
        <f t="shared" si="343"/>
        <v>48</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4</v>
      </c>
      <c r="M899" s="2152">
        <f>AO889</f>
        <v>8</v>
      </c>
      <c r="N899" s="2152">
        <f>AP889</f>
        <v>4</v>
      </c>
      <c r="O899" s="2152">
        <f>AQ889</f>
        <v>0</v>
      </c>
      <c r="P899" s="2152">
        <f t="shared" si="343"/>
        <v>16</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0</v>
      </c>
      <c r="L903" s="2152">
        <f>SUM(L896:L902)</f>
        <v>14</v>
      </c>
      <c r="M903" s="2152">
        <f>SUM(M896:M902)</f>
        <v>36</v>
      </c>
      <c r="N903" s="2152">
        <f>SUM(N896:N902)</f>
        <v>14</v>
      </c>
      <c r="O903" s="2152">
        <f>SUM(O896:O902)</f>
        <v>0</v>
      </c>
      <c r="P903" s="2152">
        <f t="shared" si="343"/>
        <v>64</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2</v>
      </c>
      <c r="M904" s="2152">
        <f>BI889</f>
        <v>4</v>
      </c>
      <c r="N904" s="2152">
        <f>BJ889</f>
        <v>2</v>
      </c>
      <c r="O904" s="2152">
        <f>BK889</f>
        <v>0</v>
      </c>
      <c r="P904" s="2152">
        <f t="shared" si="343"/>
        <v>8</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16</v>
      </c>
      <c r="M905" s="2157">
        <f>SUM(M903:M904)</f>
        <v>40</v>
      </c>
      <c r="N905" s="2157">
        <f>SUM(N903:N904)</f>
        <v>16</v>
      </c>
      <c r="O905" s="2157">
        <f>SUM(O903:O904)</f>
        <v>0</v>
      </c>
      <c r="P905" s="2157">
        <f t="shared" si="343"/>
        <v>72</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3309</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16</v>
      </c>
      <c r="M907" s="2152">
        <f>SUM(M905:M906)</f>
        <v>40</v>
      </c>
      <c r="N907" s="2152">
        <f>SUM(N905:N906)</f>
        <v>16</v>
      </c>
      <c r="O907" s="2152">
        <f>SUM(O905:O906)</f>
        <v>0</v>
      </c>
      <c r="P907" s="2152">
        <f t="shared" si="343"/>
        <v>72</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4276</v>
      </c>
      <c r="S910" s="2043"/>
      <c r="T910" s="2043"/>
      <c r="U910" s="2043"/>
      <c r="V910" s="2043"/>
      <c r="W910" s="2043"/>
    </row>
    <row r="911" spans="1:380">
      <c r="A911" s="1843"/>
      <c r="B911" s="1843"/>
      <c r="C911" s="2113"/>
      <c r="D911" s="1852"/>
      <c r="E911" s="1852"/>
      <c r="F911" s="1852"/>
      <c r="G911" s="1852"/>
      <c r="H911" s="2159" t="s">
        <v>7117</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7118</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7119</v>
      </c>
      <c r="E913" s="2113"/>
      <c r="F913" s="2113"/>
      <c r="G913" s="1852"/>
      <c r="H913" s="2159" t="s">
        <v>3831</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7117</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7118</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4274</v>
      </c>
      <c r="D916" s="2113"/>
      <c r="E916" s="2113"/>
      <c r="F916" s="2113"/>
      <c r="G916" s="1852"/>
      <c r="H916" s="2159" t="s">
        <v>1107</v>
      </c>
      <c r="I916" s="2160"/>
      <c r="J916" s="1818"/>
      <c r="K916" s="2162" t="str">
        <f t="shared" ref="K916:P916" si="348">IF(OR(K898=0,K907=0),"",K898/K907)</f>
        <v/>
      </c>
      <c r="L916" s="2162">
        <f t="shared" si="348"/>
        <v>0.625</v>
      </c>
      <c r="M916" s="2162">
        <f t="shared" si="348"/>
        <v>0.7</v>
      </c>
      <c r="N916" s="2162">
        <f t="shared" si="348"/>
        <v>0.625</v>
      </c>
      <c r="O916" s="2162" t="str">
        <f t="shared" si="348"/>
        <v/>
      </c>
      <c r="P916" s="2162">
        <f t="shared" si="348"/>
        <v>0.66666666666666663</v>
      </c>
      <c r="S916" s="2043"/>
      <c r="T916" s="2043"/>
      <c r="U916" s="2043"/>
      <c r="V916" s="2043"/>
      <c r="W916" s="2043"/>
    </row>
    <row r="917" spans="3:23" ht="15.75" customHeight="1">
      <c r="D917" s="2113"/>
      <c r="E917" s="2113"/>
      <c r="F917" s="2113"/>
      <c r="G917" s="1852"/>
      <c r="H917" s="2159" t="s">
        <v>7117</v>
      </c>
      <c r="I917" s="2160"/>
      <c r="J917" s="1818"/>
      <c r="K917" s="2163" t="str">
        <f>IF(OR(K898=0,P916="",K907=0),"",P916*K907)</f>
        <v/>
      </c>
      <c r="L917" s="2163">
        <f>IF(OR(L898=0,P916="",L907=0),"",P916*L907)</f>
        <v>10.666666666666666</v>
      </c>
      <c r="M917" s="2163">
        <f>IF(OR(M898=0,P916="",M907=0),"",P916*M907)</f>
        <v>26.666666666666664</v>
      </c>
      <c r="N917" s="2163">
        <f>IF(OR(N898=0,P916="",N907=0),"",P916*N907)</f>
        <v>10.666666666666666</v>
      </c>
      <c r="O917" s="2163" t="str">
        <f>IF(OR(O898=0,P916="",O907=0),"",P916*O907)</f>
        <v/>
      </c>
      <c r="P917" s="2163">
        <f>IF(OR(P916="",P907=0),"",P916*P907)</f>
        <v>48</v>
      </c>
      <c r="S917" s="2043"/>
      <c r="T917" s="2043"/>
      <c r="U917" s="2043"/>
      <c r="V917" s="2043"/>
      <c r="W917" s="2043"/>
    </row>
    <row r="918" spans="3:23" ht="15.75" customHeight="1">
      <c r="D918" s="2113"/>
      <c r="E918" s="2113"/>
      <c r="F918" s="2113"/>
      <c r="G918" s="2164"/>
      <c r="H918" s="2159" t="s">
        <v>7118</v>
      </c>
      <c r="I918" s="2160"/>
      <c r="J918" s="1818"/>
      <c r="K918" s="2163" t="str">
        <f t="shared" ref="K918:P918" si="349">IF(OR(K917="",K898=0),"", K898-K917)</f>
        <v/>
      </c>
      <c r="L918" s="2163">
        <f t="shared" si="349"/>
        <v>-0.66666666666666607</v>
      </c>
      <c r="M918" s="2163">
        <f t="shared" si="349"/>
        <v>1.3333333333333357</v>
      </c>
      <c r="N918" s="2163">
        <f t="shared" si="349"/>
        <v>-0.66666666666666607</v>
      </c>
      <c r="O918" s="2163" t="str">
        <f t="shared" si="349"/>
        <v/>
      </c>
      <c r="P918" s="2163">
        <f t="shared" si="349"/>
        <v>0</v>
      </c>
    </row>
    <row r="919" spans="3:23">
      <c r="C919" s="1924" t="s">
        <v>4274</v>
      </c>
      <c r="F919" s="1852"/>
      <c r="G919" s="1852"/>
      <c r="H919" s="2159" t="s">
        <v>111</v>
      </c>
      <c r="I919" s="2160"/>
      <c r="J919" s="1818"/>
      <c r="K919" s="2162" t="str">
        <f t="shared" ref="K919:P919" si="350">IF(OR(K899=0,K907=0),"",K899/K907)</f>
        <v/>
      </c>
      <c r="L919" s="2162">
        <f t="shared" si="350"/>
        <v>0.25</v>
      </c>
      <c r="M919" s="2162">
        <f t="shared" si="350"/>
        <v>0.2</v>
      </c>
      <c r="N919" s="2162">
        <f t="shared" si="350"/>
        <v>0.25</v>
      </c>
      <c r="O919" s="2162" t="str">
        <f t="shared" si="350"/>
        <v/>
      </c>
      <c r="P919" s="2162">
        <f t="shared" si="350"/>
        <v>0.22222222222222221</v>
      </c>
    </row>
    <row r="920" spans="3:23">
      <c r="F920" s="1852"/>
      <c r="G920" s="1852"/>
      <c r="H920" s="2159" t="s">
        <v>7117</v>
      </c>
      <c r="I920" s="2160"/>
      <c r="J920" s="1818"/>
      <c r="K920" s="2163" t="str">
        <f>IF(OR(K899=0,P919="",K907=0),"",P919*K907)</f>
        <v/>
      </c>
      <c r="L920" s="2163">
        <f>IF(OR(L899=0,P919="",L907=0),"",P919*L907)</f>
        <v>3.5555555555555554</v>
      </c>
      <c r="M920" s="2163">
        <f>IF(OR(M899=0,P919="",M907=0),"",P919*M907)</f>
        <v>8.8888888888888893</v>
      </c>
      <c r="N920" s="2163">
        <f>IF(OR(N899=0,P919="",N907=0),"",P919*N907)</f>
        <v>3.5555555555555554</v>
      </c>
      <c r="O920" s="2163" t="str">
        <f>IF(OR(O899=0,P919="",O907=0),"",P919*O907)</f>
        <v/>
      </c>
      <c r="P920" s="2163">
        <f>IF(OR(P919="",P907=0),"",P919*P907)</f>
        <v>16</v>
      </c>
    </row>
    <row r="921" spans="3:23">
      <c r="F921" s="1852"/>
      <c r="G921" s="2164"/>
      <c r="H921" s="2159" t="s">
        <v>7118</v>
      </c>
      <c r="I921" s="2160"/>
      <c r="J921" s="1818"/>
      <c r="K921" s="2163" t="str">
        <f t="shared" ref="K921:P921" si="351">IF(OR(K920="",K899=0),"", K899-K920)</f>
        <v/>
      </c>
      <c r="L921" s="2163">
        <f t="shared" si="351"/>
        <v>0.44444444444444464</v>
      </c>
      <c r="M921" s="2163">
        <f t="shared" si="351"/>
        <v>-0.88888888888888928</v>
      </c>
      <c r="N921" s="2163">
        <f t="shared" si="351"/>
        <v>0.44444444444444464</v>
      </c>
      <c r="O921" s="2163" t="str">
        <f t="shared" si="351"/>
        <v/>
      </c>
      <c r="P921" s="2163">
        <f t="shared" si="351"/>
        <v>0</v>
      </c>
    </row>
    <row r="922" spans="3:23">
      <c r="C922" s="1924" t="s">
        <v>4274</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7117</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7118</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4274</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7117</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7118</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4274</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7117</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7118</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3831</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7120</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14</v>
      </c>
      <c r="M953" s="2152">
        <f>GI889</f>
        <v>36</v>
      </c>
      <c r="N953" s="2152">
        <f>GJ889</f>
        <v>14</v>
      </c>
      <c r="O953" s="2152">
        <f>GK889</f>
        <v>0</v>
      </c>
      <c r="P953" s="2152">
        <f t="shared" ref="P953:P963" si="360">SUM(K953:O953)</f>
        <v>64</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2</v>
      </c>
      <c r="M954" s="2152">
        <f>GN889</f>
        <v>4</v>
      </c>
      <c r="N954" s="2152">
        <f>GO889</f>
        <v>2</v>
      </c>
      <c r="O954" s="2152">
        <f>GP889</f>
        <v>0</v>
      </c>
      <c r="P954" s="2152">
        <f t="shared" si="360"/>
        <v>8</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16</v>
      </c>
      <c r="M955" s="2152">
        <f>SUM(M953:M954)+GS889</f>
        <v>40</v>
      </c>
      <c r="N955" s="2152">
        <f>SUM(N953:N954)+GT889</f>
        <v>16</v>
      </c>
      <c r="O955" s="2152">
        <f>SUM(O953:O954)+GU889</f>
        <v>0</v>
      </c>
      <c r="P955" s="2152">
        <f t="shared" si="360"/>
        <v>72</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7121</v>
      </c>
      <c r="D967" s="2158"/>
      <c r="E967" s="1719" t="s">
        <v>36</v>
      </c>
      <c r="F967" s="1818"/>
      <c r="G967" s="1864"/>
      <c r="H967" s="2114"/>
      <c r="K967" s="2152">
        <f t="shared" ref="K967:P967" si="361">SUM(K968:K975)</f>
        <v>0</v>
      </c>
      <c r="L967" s="2152">
        <f t="shared" si="361"/>
        <v>16</v>
      </c>
      <c r="M967" s="2152">
        <f t="shared" si="361"/>
        <v>40</v>
      </c>
      <c r="N967" s="2152">
        <f t="shared" si="361"/>
        <v>16</v>
      </c>
      <c r="O967" s="2152">
        <f t="shared" si="361"/>
        <v>0</v>
      </c>
      <c r="P967" s="2152">
        <f t="shared" si="361"/>
        <v>72</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6597</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6807</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6599</v>
      </c>
      <c r="I972" s="2121"/>
      <c r="K972" s="2152">
        <f>KM889</f>
        <v>0</v>
      </c>
      <c r="L972" s="2152">
        <f>KN889</f>
        <v>16</v>
      </c>
      <c r="M972" s="2152">
        <f>KO889</f>
        <v>40</v>
      </c>
      <c r="N972" s="2152">
        <f>KP889</f>
        <v>16</v>
      </c>
      <c r="O972" s="2152">
        <f>KQ889</f>
        <v>0</v>
      </c>
      <c r="P972" s="2152">
        <f t="shared" si="362"/>
        <v>72</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6814</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6809</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6810</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6593</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7120</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7122</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16</v>
      </c>
      <c r="M991" s="2152">
        <f t="shared" si="366"/>
        <v>40</v>
      </c>
      <c r="N991" s="2152">
        <f t="shared" si="366"/>
        <v>16</v>
      </c>
      <c r="O991" s="2152">
        <f t="shared" si="366"/>
        <v>0</v>
      </c>
      <c r="P991" s="2152">
        <f t="shared" si="364"/>
        <v>72</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7048</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6823</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6680</v>
      </c>
      <c r="M999" s="2171">
        <f>EU889</f>
        <v>26040</v>
      </c>
      <c r="N999" s="2171">
        <f>EV889</f>
        <v>11060</v>
      </c>
      <c r="O999" s="2171">
        <f>EW889</f>
        <v>0</v>
      </c>
      <c r="P999" s="2171">
        <f t="shared" si="367"/>
        <v>43780</v>
      </c>
      <c r="Q999" s="2172">
        <f t="shared" si="368"/>
        <v>912.08333333333337</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2672</v>
      </c>
      <c r="M1000" s="2171">
        <f>EZ889</f>
        <v>7440</v>
      </c>
      <c r="N1000" s="2171">
        <f>FA889</f>
        <v>4424</v>
      </c>
      <c r="O1000" s="2171">
        <f>FB889</f>
        <v>0</v>
      </c>
      <c r="P1000" s="2171">
        <f t="shared" si="367"/>
        <v>14536</v>
      </c>
      <c r="Q1000" s="2172">
        <f t="shared" si="368"/>
        <v>908.5</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0</v>
      </c>
      <c r="L1004" s="2173">
        <f>SUM(L997:L1003)</f>
        <v>9352</v>
      </c>
      <c r="M1004" s="2173">
        <f>SUM(M997:M1003)</f>
        <v>33480</v>
      </c>
      <c r="N1004" s="2173">
        <f>SUM(N997:N1003)</f>
        <v>15484</v>
      </c>
      <c r="O1004" s="2173">
        <f>SUM(O997:O1003)</f>
        <v>0</v>
      </c>
      <c r="P1004" s="2173">
        <f>SUM(K1004:O1004)</f>
        <v>58316</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1336</v>
      </c>
      <c r="M1005" s="2171">
        <f>FT889</f>
        <v>3720</v>
      </c>
      <c r="N1005" s="2171">
        <f>FU889</f>
        <v>2212</v>
      </c>
      <c r="O1005" s="2171">
        <f>FV889</f>
        <v>0</v>
      </c>
      <c r="P1005" s="2171">
        <f>SUM(K1005:O1005)</f>
        <v>7268</v>
      </c>
      <c r="Q1005" s="2172">
        <f>IF(OR(P904=0,P904=""),"",P1005/P904)</f>
        <v>908.5</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10688</v>
      </c>
      <c r="M1006" s="2173">
        <f>SUM(M1004:M1005)</f>
        <v>37200</v>
      </c>
      <c r="N1006" s="2173">
        <f>SUM(N1004:N1005)</f>
        <v>17696</v>
      </c>
      <c r="O1006" s="2173">
        <f>SUM(O1004:O1005)</f>
        <v>0</v>
      </c>
      <c r="P1006" s="2173">
        <f>SUM(K1006:O1006)</f>
        <v>65584</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10688</v>
      </c>
      <c r="M1008" s="2171">
        <f>SUM(M1006:M1007)</f>
        <v>37200</v>
      </c>
      <c r="N1008" s="2171">
        <f>SUM(N1006:N1007)</f>
        <v>17696</v>
      </c>
      <c r="O1008" s="2171">
        <f>SUM(O1006:O1007)</f>
        <v>0</v>
      </c>
      <c r="P1008" s="2171">
        <f>SUM(K1008:O1008)</f>
        <v>65584</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7123</v>
      </c>
      <c r="K1011" s="2174" t="str">
        <f>IF(OR(K907="",K907=0),"",K1008/K907)</f>
        <v/>
      </c>
      <c r="L1011" s="2174">
        <f>IF(OR(L907="",L907=0),"",L1008/L907)</f>
        <v>668</v>
      </c>
      <c r="M1011" s="2174">
        <f>IF(OR(M907="",M907=0),"",M1008/M907)</f>
        <v>930</v>
      </c>
      <c r="N1011" s="2174">
        <f>IF(OR(N907="",N907=0),"",N1008/N907)</f>
        <v>1106</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7124</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11359.2</v>
      </c>
      <c r="I1016" s="2176"/>
      <c r="J1016" s="2176"/>
      <c r="K1016" s="1719"/>
      <c r="L1016" s="2115" t="s">
        <v>7049</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7050</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7051</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7050</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7051</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7050</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7051</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7050</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7051</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29632</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48100</v>
      </c>
      <c r="G1058" s="2189"/>
      <c r="I1058" s="1818" t="s">
        <v>1329</v>
      </c>
      <c r="L1058" s="2189">
        <f>'Part VI-Revenues &amp; Expenses'!L218</f>
        <v>0</v>
      </c>
      <c r="M1058" s="2189"/>
      <c r="O1058" s="2190">
        <f>+Q1057/(P907*0.93)</f>
        <v>442.53285543608121</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38100</v>
      </c>
      <c r="G1059" s="2189"/>
      <c r="I1059" s="1818" t="s">
        <v>1330</v>
      </c>
      <c r="L1059" s="2189">
        <f>'Part VI-Revenues &amp; Expenses'!L219</f>
        <v>0</v>
      </c>
      <c r="M1059" s="2189"/>
      <c r="O1059" s="2190">
        <f>+Q1057/(P907*0.93)/12</f>
        <v>36.877737953006765</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20000</v>
      </c>
      <c r="G1060" s="2189"/>
      <c r="K1060" s="2191" t="s">
        <v>183</v>
      </c>
      <c r="L1060" s="2171">
        <f>SUM(L1058:M1059)</f>
        <v>0</v>
      </c>
      <c r="M1060" s="2171"/>
      <c r="O1060" s="435" t="s">
        <v>3354</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4222</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4223</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106200</v>
      </c>
      <c r="G1064" s="2171"/>
      <c r="I1064" s="1818" t="s">
        <v>1536</v>
      </c>
      <c r="L1064" s="2189">
        <f>'Part VI-Revenues &amp; Expenses'!L224</f>
        <v>2500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5000</v>
      </c>
      <c r="M1065" s="2189"/>
      <c r="N1065" s="1719" t="str">
        <f>IF(Q1067="","",IF(Q1065&lt;Q1067, "WARNING! OE below required minimum.",""))</f>
        <v/>
      </c>
      <c r="O1065" s="1818" t="s">
        <v>2091</v>
      </c>
      <c r="Q1065" s="2174">
        <f>F1064+F1073+F1084+L1060+L1068+L1077+L1084+Q1057</f>
        <v>335582</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5000</v>
      </c>
      <c r="M1066" s="2189"/>
      <c r="N1066" s="1719"/>
      <c r="O1066" s="2156" t="s">
        <v>2588</v>
      </c>
      <c r="P1066" s="2190">
        <f>+Q1065/P907</f>
        <v>4660.8611111111113</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6758</v>
      </c>
    </row>
    <row r="1067" spans="2:380" s="1818" customFormat="1" ht="15.6" customHeight="1">
      <c r="B1067" s="1818" t="s">
        <v>1323</v>
      </c>
      <c r="D1067" s="2192"/>
      <c r="F1067" s="2189">
        <f>'Part VI-Revenues &amp; Expenses'!F227</f>
        <v>7500</v>
      </c>
      <c r="G1067" s="2189"/>
      <c r="I1067" s="2193" t="str">
        <f>'Part VI-Revenues &amp; Expenses'!I227</f>
        <v>Other (describe here)</v>
      </c>
      <c r="J1067" s="2193"/>
      <c r="K1067" s="2193"/>
      <c r="L1067" s="2189">
        <f>'Part VI-Revenues &amp; Expenses'!L227</f>
        <v>0</v>
      </c>
      <c r="M1067" s="2189"/>
      <c r="N1067" s="1719"/>
      <c r="P1067" s="2156" t="s">
        <v>3355</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7200</v>
      </c>
      <c r="G1068" s="2189"/>
      <c r="K1068" s="2191" t="s">
        <v>183</v>
      </c>
      <c r="L1068" s="2174">
        <f>SUM(L1064:L1067)</f>
        <v>12500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2000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6759</v>
      </c>
    </row>
    <row r="1071" spans="2:380" s="1818" customFormat="1" ht="15.6" customHeight="1">
      <c r="B1071" s="1818" t="s">
        <v>1534</v>
      </c>
      <c r="D1071" s="2192"/>
      <c r="F1071" s="2189">
        <f>'Part VI-Revenues &amp; Expenses'!F231</f>
        <v>0</v>
      </c>
      <c r="G1071" s="2189"/>
      <c r="I1071" s="1818" t="s">
        <v>1326</v>
      </c>
      <c r="K1071" s="1857" t="s">
        <v>4065</v>
      </c>
      <c r="O1071" s="1818" t="s">
        <v>3206</v>
      </c>
      <c r="Q1071" s="2194">
        <f>'Part VI-Revenues &amp; Expenses'!Q231</f>
        <v>18000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Administrative Expenses</v>
      </c>
      <c r="C1072" s="2111"/>
      <c r="D1072" s="2111"/>
      <c r="E1072" s="2111"/>
      <c r="F1072" s="2189">
        <f>'Part VI-Revenues &amp; Expenses'!F232</f>
        <v>11000</v>
      </c>
      <c r="G1072" s="2189"/>
      <c r="I1072" s="1818" t="s">
        <v>1319</v>
      </c>
      <c r="K1072" s="2010">
        <f>L1072/12/P907</f>
        <v>5.7870370370370372</v>
      </c>
      <c r="L1072" s="2189">
        <f>'Part VI-Revenues &amp; Expenses'!L232</f>
        <v>5000</v>
      </c>
      <c r="M1072" s="2189"/>
      <c r="N1072" s="1719" t="str">
        <f>IF(Q1071&lt;Q1080, "WARNING! RR proposed is below the DCA required minimum.","")</f>
        <v/>
      </c>
      <c r="O1072" s="435" t="s">
        <v>4064</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27700</v>
      </c>
      <c r="G1073" s="2171"/>
      <c r="I1073" s="1818" t="s">
        <v>1320</v>
      </c>
      <c r="K1073" s="2010">
        <f>L1073/12/P907</f>
        <v>0</v>
      </c>
      <c r="L1073" s="2189">
        <f>'Part VI-Revenues &amp; Expenses'!L233</f>
        <v>0</v>
      </c>
      <c r="M1073" s="2189"/>
      <c r="N1073" s="1719"/>
      <c r="O1073" s="2196" t="s">
        <v>3362</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4122</v>
      </c>
      <c r="K1074" s="2010">
        <f>L1074/12/P907</f>
        <v>46.296296296296298</v>
      </c>
      <c r="L1074" s="2189">
        <f>'Part VI-Revenues &amp; Expenses'!L234</f>
        <v>40000</v>
      </c>
      <c r="M1074" s="2189"/>
      <c r="N1074" s="1719"/>
      <c r="O1074" s="2197" t="s">
        <v>2561</v>
      </c>
      <c r="P1074" s="2198" t="s">
        <v>3419</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6692</v>
      </c>
    </row>
    <row r="1075" spans="1:380" s="1818" customFormat="1" ht="15.75" customHeight="1">
      <c r="B1075" s="1818" t="s">
        <v>1245</v>
      </c>
      <c r="D1075" s="2192"/>
      <c r="I1075" s="1818" t="s">
        <v>1322</v>
      </c>
      <c r="L1075" s="2189">
        <f>'Part VI-Revenues &amp; Expenses'!L235</f>
        <v>15000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11000</v>
      </c>
      <c r="G1076" s="2189"/>
      <c r="I1076" s="2193" t="str">
        <f>'Part VI-Revenues &amp; Expenses'!I236</f>
        <v>Common Area Water</v>
      </c>
      <c r="J1076" s="2193"/>
      <c r="K1076" s="2193"/>
      <c r="L1076" s="2189">
        <f>'Part VI-Revenues &amp; Expenses'!L236</f>
        <v>2500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0</v>
      </c>
      <c r="G1077" s="2189"/>
      <c r="K1077" s="2191" t="s">
        <v>183</v>
      </c>
      <c r="L1077" s="2174">
        <f>SUM(L1072:L1076)</f>
        <v>62500</v>
      </c>
      <c r="M1077" s="2174"/>
      <c r="N1077" s="1719"/>
      <c r="O1077" s="1864" t="s">
        <v>3171</v>
      </c>
      <c r="P1077" s="2199" t="str">
        <f>CONCATENATE(SUM(MK889:MO889)," units x $",'DCA Underwriting Assumptions'!$Q$69," =")</f>
        <v>72 units x $250 =</v>
      </c>
      <c r="Q1077" s="2199">
        <f>SUM(MK889:MO889)*'DCA Underwriting Assumptions'!$Q$69</f>
        <v>18000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5000</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3500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6760</v>
      </c>
    </row>
    <row r="1080" spans="1:380" s="1818" customFormat="1" ht="15.6" customHeight="1">
      <c r="B1080" s="1818" t="s">
        <v>965</v>
      </c>
      <c r="D1080" s="2192"/>
      <c r="F1080" s="2189">
        <f>'Part VI-Revenues &amp; Expenses'!F240</f>
        <v>5500</v>
      </c>
      <c r="G1080" s="2189"/>
      <c r="I1080" s="1818" t="s">
        <v>1327</v>
      </c>
      <c r="O1080" s="2141" t="s">
        <v>2564</v>
      </c>
      <c r="P1080" s="2200">
        <f>SUM(MF889:MJ889)+SUM(MK889:MO889)+SUM(MP889:MT889)+P965</f>
        <v>72</v>
      </c>
      <c r="Q1080" s="2200">
        <f>SUM(Q1076:Q1079)</f>
        <v>18000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7125</v>
      </c>
      <c r="L1081" s="2189">
        <f>'Part VI-Revenues &amp; Expenses'!L241</f>
        <v>42050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5000</v>
      </c>
      <c r="G1082" s="2189"/>
      <c r="I1082" s="1818" t="s">
        <v>139</v>
      </c>
      <c r="L1082" s="2189">
        <f>'Part VI-Revenues &amp; Expenses'!L242</f>
        <v>25000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6761</v>
      </c>
    </row>
    <row r="1084" spans="1:380" s="1818" customFormat="1" ht="15.6" customHeight="1">
      <c r="E1084" s="2191" t="s">
        <v>183</v>
      </c>
      <c r="F1084" s="2171">
        <f>SUM(F1076:G1083)</f>
        <v>30000</v>
      </c>
      <c r="G1084" s="2171"/>
      <c r="K1084" s="2191" t="s">
        <v>183</v>
      </c>
      <c r="L1084" s="2174">
        <f>SUM(L1080:L1083)</f>
        <v>67050</v>
      </c>
      <c r="M1084" s="2174"/>
      <c r="O1084" s="1818" t="s">
        <v>2092</v>
      </c>
      <c r="Q1084" s="2174">
        <f>Q1065+Q1071</f>
        <v>353582</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4054</v>
      </c>
      <c r="C1088" s="2191"/>
      <c r="H1088" s="2152"/>
      <c r="I1088" s="2201" t="s">
        <v>4055</v>
      </c>
      <c r="K1088" s="2182">
        <f>'Part VI-Revenues &amp; Expenses'!K248</f>
        <v>0</v>
      </c>
      <c r="L1088" s="2182"/>
      <c r="M1088" s="2105" t="s">
        <v>4092</v>
      </c>
      <c r="N1088" s="2122">
        <f>'Part VI-Revenues &amp; Expenses'!N248</f>
        <v>0</v>
      </c>
      <c r="O1088" s="1818" t="s">
        <v>4057</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4093</v>
      </c>
      <c r="C1090" s="2191"/>
      <c r="F1090" s="2152"/>
      <c r="G1090" s="2152"/>
      <c r="J1090" s="2110" t="str">
        <f>'Part VI-Revenues &amp; Expenses'!J250</f>
        <v>&lt;&lt;Select&gt;&gt;</v>
      </c>
      <c r="K1090" s="2201" t="s">
        <v>4095</v>
      </c>
      <c r="L1090" s="2110" t="str">
        <f>'Part VI-Revenues &amp; Expenses'!L250</f>
        <v>&lt;&lt;Select&gt;&gt;</v>
      </c>
      <c r="M1090" s="2108" t="s">
        <v>4096</v>
      </c>
      <c r="N1090" s="2122">
        <f>'Part VI-Revenues &amp; Expenses'!N250</f>
        <v>0</v>
      </c>
      <c r="O1090" s="1818" t="s">
        <v>4094</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6762</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4053</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Per disussions with local county tax assessor, the income approach is used on all multifamily properties. The backup for our tax estimate is loctaed in Apendix I:Threshold Project Feasibility tab. Backup for insurance estimate can also be found in the same tab location</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2021-041 Hunters Haven, ,  County</v>
      </c>
      <c r="B1098" s="1924"/>
      <c r="C1098" s="1924"/>
      <c r="D1098" s="1924"/>
      <c r="E1098" s="1924"/>
      <c r="F1098" s="1924"/>
      <c r="G1098" s="1924"/>
      <c r="H1098" s="1924"/>
      <c r="I1098" s="1924"/>
      <c r="J1098" s="1924"/>
      <c r="K1098" s="1924"/>
      <c r="L1098" s="1818"/>
      <c r="M1098" s="1818"/>
      <c r="N1098" s="1818" t="str">
        <f>A1098</f>
        <v>PART SEVEN - OPERATING PRO FORMA  -  2021-041 Hunters Haven,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7052</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7126</v>
      </c>
      <c r="E1102" s="2158"/>
      <c r="F1102" s="2158"/>
      <c r="G1102" s="2204">
        <f>'Part VII-Pro Forma'!G6</f>
        <v>7200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Yes</v>
      </c>
      <c r="H1105" s="2210" t="s">
        <v>1389</v>
      </c>
      <c r="K1105" s="2211">
        <f>'Part VII-Pro Forma'!K9</f>
        <v>29632</v>
      </c>
      <c r="N1105" s="2043"/>
      <c r="O1105" s="2043"/>
      <c r="Z1105" s="1924"/>
      <c r="AA1105" s="2051">
        <v>9</v>
      </c>
    </row>
    <row r="1106" spans="1:27" s="1852" customFormat="1">
      <c r="A1106" s="1852" t="s">
        <v>1367</v>
      </c>
      <c r="B1106" s="2203">
        <v>0.02</v>
      </c>
      <c r="D1106" s="1818" t="s">
        <v>1641</v>
      </c>
      <c r="G1106" s="2209" t="str">
        <f>'Part VII-Pro Forma'!G10</f>
        <v>No</v>
      </c>
      <c r="H1106" s="2210" t="s">
        <v>2251</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567960</v>
      </c>
      <c r="C1111" s="2213">
        <f>'Part VII-Pro Forma'!C15</f>
        <v>579319.19999999995</v>
      </c>
      <c r="D1111" s="2213">
        <f>'Part VII-Pro Forma'!D15</f>
        <v>590905.58400000003</v>
      </c>
      <c r="E1111" s="2213">
        <f>'Part VII-Pro Forma'!E15</f>
        <v>602723.69568</v>
      </c>
      <c r="F1111" s="2213">
        <f>'Part VII-Pro Forma'!F15</f>
        <v>614778.16959359997</v>
      </c>
      <c r="G1111" s="2213">
        <f>'Part VII-Pro Forma'!G15</f>
        <v>627073.73298547196</v>
      </c>
      <c r="H1111" s="2213">
        <f>'Part VII-Pro Forma'!H15</f>
        <v>639615.20764518145</v>
      </c>
      <c r="I1111" s="2213">
        <f>'Part VII-Pro Forma'!I15</f>
        <v>652407.51179808495</v>
      </c>
      <c r="J1111" s="2213">
        <f>'Part VII-Pro Forma'!J15</f>
        <v>665455.66203404672</v>
      </c>
      <c r="K1111" s="2213">
        <f>'Part VII-Pro Forma'!K15</f>
        <v>678764.77527472761</v>
      </c>
      <c r="N1111" s="2043"/>
      <c r="O1111" s="2043"/>
      <c r="S1111" s="2114" t="s">
        <v>3561</v>
      </c>
      <c r="Z1111" s="1924" t="s">
        <v>6773</v>
      </c>
      <c r="AA1111" s="2051">
        <v>15</v>
      </c>
    </row>
    <row r="1112" spans="1:27" s="1852" customFormat="1" ht="13.35" customHeight="1">
      <c r="A1112" s="1852" t="s">
        <v>977</v>
      </c>
      <c r="B1112" s="2213">
        <f>'Part VII-Pro Forma'!B16</f>
        <v>11359.2</v>
      </c>
      <c r="C1112" s="2213">
        <f>'Part VII-Pro Forma'!C16</f>
        <v>11586.384000000002</v>
      </c>
      <c r="D1112" s="2213">
        <f>'Part VII-Pro Forma'!D16</f>
        <v>11818.11168</v>
      </c>
      <c r="E1112" s="2213">
        <f>'Part VII-Pro Forma'!E16</f>
        <v>12054.473913600001</v>
      </c>
      <c r="F1112" s="2213">
        <f>'Part VII-Pro Forma'!F16</f>
        <v>12295.563391872001</v>
      </c>
      <c r="G1112" s="2213">
        <f>'Part VII-Pro Forma'!G16</f>
        <v>12541.474659709442</v>
      </c>
      <c r="H1112" s="2213">
        <f>'Part VII-Pro Forma'!H16</f>
        <v>12792.304152903631</v>
      </c>
      <c r="I1112" s="2213">
        <f>'Part VII-Pro Forma'!I16</f>
        <v>13048.150235961701</v>
      </c>
      <c r="J1112" s="2213">
        <f>'Part VII-Pro Forma'!J16</f>
        <v>13309.113240680936</v>
      </c>
      <c r="K1112" s="2213">
        <f>'Part VII-Pro Forma'!K16</f>
        <v>13575.295505494554</v>
      </c>
      <c r="N1112" s="2043"/>
      <c r="O1112" s="2043"/>
      <c r="S1112" s="2114"/>
      <c r="Z1112" s="1924" t="s">
        <v>6773</v>
      </c>
      <c r="AA1112" s="2051">
        <v>16</v>
      </c>
    </row>
    <row r="1113" spans="1:27" s="1852" customFormat="1" ht="13.35" customHeight="1">
      <c r="A1113" s="1852" t="s">
        <v>2295</v>
      </c>
      <c r="B1113" s="2213">
        <f>'Part VII-Pro Forma'!B17</f>
        <v>-40552.343999999997</v>
      </c>
      <c r="C1113" s="2213">
        <f>'Part VII-Pro Forma'!C17</f>
        <v>-41363.390879999999</v>
      </c>
      <c r="D1113" s="2213">
        <f>'Part VII-Pro Forma'!D17</f>
        <v>-42190.658697600004</v>
      </c>
      <c r="E1113" s="2213">
        <f>'Part VII-Pro Forma'!E17</f>
        <v>-43034.471871551999</v>
      </c>
      <c r="F1113" s="2213">
        <f>'Part VII-Pro Forma'!F17</f>
        <v>-43895.161308983043</v>
      </c>
      <c r="G1113" s="2213">
        <f>'Part VII-Pro Forma'!G17</f>
        <v>-44773.064535162703</v>
      </c>
      <c r="H1113" s="2213">
        <f>'Part VII-Pro Forma'!H17</f>
        <v>-45668.52582586596</v>
      </c>
      <c r="I1113" s="2213">
        <f>'Part VII-Pro Forma'!I17</f>
        <v>-46581.896342383268</v>
      </c>
      <c r="J1113" s="2213">
        <f>'Part VII-Pro Forma'!J17</f>
        <v>-47513.534269230935</v>
      </c>
      <c r="K1113" s="2213">
        <f>'Part VII-Pro Forma'!K17</f>
        <v>-48463.80495461556</v>
      </c>
      <c r="N1113" s="2043"/>
      <c r="O1113" s="2043"/>
      <c r="Q1113" s="2114" t="s">
        <v>3438</v>
      </c>
      <c r="R1113" s="2114" t="s">
        <v>3560</v>
      </c>
      <c r="S1113" s="2114"/>
      <c r="Z1113" s="1924" t="s">
        <v>6773</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6773</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6773</v>
      </c>
      <c r="AA1115" s="1929">
        <v>19</v>
      </c>
    </row>
    <row r="1116" spans="1:27" s="1852" customFormat="1" ht="13.35" customHeight="1">
      <c r="A1116" s="1852" t="s">
        <v>4014</v>
      </c>
      <c r="B1116" s="2213">
        <f>'Part VII-Pro Forma'!B20</f>
        <v>538766.85599999991</v>
      </c>
      <c r="C1116" s="2213">
        <f>'Part VII-Pro Forma'!C20</f>
        <v>549542.19311999995</v>
      </c>
      <c r="D1116" s="2213">
        <f>'Part VII-Pro Forma'!D20</f>
        <v>560533.03698239999</v>
      </c>
      <c r="E1116" s="2213">
        <f>'Part VII-Pro Forma'!E20</f>
        <v>571743.69772204803</v>
      </c>
      <c r="F1116" s="2213">
        <f>'Part VII-Pro Forma'!F20</f>
        <v>583178.57167648897</v>
      </c>
      <c r="G1116" s="2213">
        <f>'Part VII-Pro Forma'!G20</f>
        <v>594842.14311001869</v>
      </c>
      <c r="H1116" s="2213">
        <f>'Part VII-Pro Forma'!H20</f>
        <v>606738.98597221915</v>
      </c>
      <c r="I1116" s="2213">
        <f>'Part VII-Pro Forma'!I20</f>
        <v>618873.76569166337</v>
      </c>
      <c r="J1116" s="2213">
        <f>'Part VII-Pro Forma'!J20</f>
        <v>631251.2410054967</v>
      </c>
      <c r="K1116" s="2213">
        <f>'Part VII-Pro Forma'!K20</f>
        <v>643876.26582560665</v>
      </c>
      <c r="N1116" s="2043"/>
      <c r="O1116" s="2043"/>
      <c r="Z1116" s="1924" t="s">
        <v>6773</v>
      </c>
      <c r="AA1116" s="2051">
        <v>20</v>
      </c>
    </row>
    <row r="1117" spans="1:27" s="1852" customFormat="1" ht="13.35" customHeight="1">
      <c r="A1117" s="1852" t="s">
        <v>585</v>
      </c>
      <c r="B1117" s="2213">
        <f>'Part VII-Pro Forma'!B21</f>
        <v>-305950</v>
      </c>
      <c r="C1117" s="2213">
        <f>'Part VII-Pro Forma'!C21</f>
        <v>-315128.5</v>
      </c>
      <c r="D1117" s="2213">
        <f>'Part VII-Pro Forma'!D21</f>
        <v>-324582.35499999998</v>
      </c>
      <c r="E1117" s="2213">
        <f>'Part VII-Pro Forma'!E21</f>
        <v>-334319.82565000001</v>
      </c>
      <c r="F1117" s="2213">
        <f>'Part VII-Pro Forma'!F21</f>
        <v>-344349.42041949998</v>
      </c>
      <c r="G1117" s="2213">
        <f>'Part VII-Pro Forma'!G21</f>
        <v>-354679.90303208493</v>
      </c>
      <c r="H1117" s="2213">
        <f>'Part VII-Pro Forma'!H21</f>
        <v>-365320.30012304755</v>
      </c>
      <c r="I1117" s="2213">
        <f>'Part VII-Pro Forma'!I21</f>
        <v>-376279.90912673896</v>
      </c>
      <c r="J1117" s="2213">
        <f>'Part VII-Pro Forma'!J21</f>
        <v>-387568.3064005411</v>
      </c>
      <c r="K1117" s="2213">
        <f>'Part VII-Pro Forma'!K21</f>
        <v>-399195.35559255735</v>
      </c>
      <c r="N1117" s="2043"/>
      <c r="O1117" s="2043"/>
      <c r="Q1117" s="2051">
        <v>1</v>
      </c>
      <c r="R1117" s="2140">
        <f>-B1128</f>
        <v>36718</v>
      </c>
      <c r="S1117" s="2140">
        <f>B1129+R1117</f>
        <v>36718.351702619228</v>
      </c>
      <c r="Z1117" s="1924" t="s">
        <v>6773</v>
      </c>
      <c r="AA1117" s="2051">
        <v>21</v>
      </c>
    </row>
    <row r="1118" spans="1:27" s="1852" customFormat="1" ht="13.35" customHeight="1">
      <c r="A1118" s="1852" t="s">
        <v>1075</v>
      </c>
      <c r="B1118" s="2213">
        <f>'Part VII-Pro Forma'!B22</f>
        <v>-29632</v>
      </c>
      <c r="C1118" s="2213">
        <f>'Part VII-Pro Forma'!C22</f>
        <v>-30521</v>
      </c>
      <c r="D1118" s="2213">
        <f>'Part VII-Pro Forma'!D22</f>
        <v>-31437</v>
      </c>
      <c r="E1118" s="2213">
        <f>'Part VII-Pro Forma'!E22</f>
        <v>-32380</v>
      </c>
      <c r="F1118" s="2213">
        <f>'Part VII-Pro Forma'!F22</f>
        <v>-33351</v>
      </c>
      <c r="G1118" s="2213">
        <f>'Part VII-Pro Forma'!G22</f>
        <v>-34352</v>
      </c>
      <c r="H1118" s="2213">
        <f>'Part VII-Pro Forma'!H22</f>
        <v>-35382</v>
      </c>
      <c r="I1118" s="2213">
        <f>'Part VII-Pro Forma'!I22</f>
        <v>-36444</v>
      </c>
      <c r="J1118" s="2213">
        <f>'Part VII-Pro Forma'!J22</f>
        <v>-37537</v>
      </c>
      <c r="K1118" s="2213">
        <f>'Part VII-Pro Forma'!K22</f>
        <v>-38663</v>
      </c>
      <c r="N1118" s="2043"/>
      <c r="O1118" s="2043"/>
      <c r="Q1118" s="2051">
        <v>2</v>
      </c>
      <c r="R1118" s="2140">
        <f>-SUM(B1128:C1128)</f>
        <v>73388</v>
      </c>
      <c r="S1118" s="2140">
        <f>SUM(B1129:C1129)+R1118</f>
        <v>73388.540525238495</v>
      </c>
      <c r="Z1118" s="1924" t="s">
        <v>6773</v>
      </c>
      <c r="AA1118" s="2051">
        <v>22</v>
      </c>
    </row>
    <row r="1119" spans="1:27" s="1852" customFormat="1" ht="13.35" customHeight="1">
      <c r="A1119" s="1852" t="s">
        <v>1156</v>
      </c>
      <c r="B1119" s="2213">
        <f>'Part VII-Pro Forma'!B23</f>
        <v>-18000</v>
      </c>
      <c r="C1119" s="2213">
        <f>'Part VII-Pro Forma'!C23</f>
        <v>-18540</v>
      </c>
      <c r="D1119" s="2213">
        <f>'Part VII-Pro Forma'!D23</f>
        <v>-19096.2</v>
      </c>
      <c r="E1119" s="2213">
        <f>'Part VII-Pro Forma'!E23</f>
        <v>-19669.085999999999</v>
      </c>
      <c r="F1119" s="2213">
        <f>'Part VII-Pro Forma'!F23</f>
        <v>-20259.158579999999</v>
      </c>
      <c r="G1119" s="2213">
        <f>'Part VII-Pro Forma'!G23</f>
        <v>-20866.933337399998</v>
      </c>
      <c r="H1119" s="2213">
        <f>'Part VII-Pro Forma'!H23</f>
        <v>-21492.941337521999</v>
      </c>
      <c r="I1119" s="2213">
        <f>'Part VII-Pro Forma'!I23</f>
        <v>-22137.72957764766</v>
      </c>
      <c r="J1119" s="2213">
        <f>'Part VII-Pro Forma'!J23</f>
        <v>-22801.861464977086</v>
      </c>
      <c r="K1119" s="2213">
        <f>'Part VII-Pro Forma'!K23</f>
        <v>-23485.9173089264</v>
      </c>
      <c r="N1119" s="2043"/>
      <c r="O1119" s="2043"/>
      <c r="Q1119" s="2051">
        <v>3</v>
      </c>
      <c r="R1119" s="2140">
        <f>-SUM(B1128:D1128)</f>
        <v>109900</v>
      </c>
      <c r="S1119" s="2140">
        <f>SUM(B1129:D1129)+R1119</f>
        <v>109901.0382102578</v>
      </c>
      <c r="Z1119" s="1924" t="s">
        <v>6773</v>
      </c>
      <c r="AA1119" s="2051">
        <v>23</v>
      </c>
    </row>
    <row r="1120" spans="1:27" s="1852" customFormat="1" ht="13.35" customHeight="1">
      <c r="A1120" s="1852" t="s">
        <v>4013</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146141</v>
      </c>
      <c r="S1120" s="2140">
        <f>SUM(B1129:E1129)+R1120</f>
        <v>146141.68558492512</v>
      </c>
      <c r="Z1120" s="1924" t="s">
        <v>6773</v>
      </c>
      <c r="AA1120" s="1929">
        <v>24</v>
      </c>
    </row>
    <row r="1121" spans="1:27" s="1852" customFormat="1" ht="13.35" customHeight="1">
      <c r="A1121" s="1852" t="s">
        <v>1157</v>
      </c>
      <c r="B1121" s="2213">
        <f>'Part VII-Pro Forma'!B25</f>
        <v>185184.85599999991</v>
      </c>
      <c r="C1121" s="2213">
        <f>'Part VII-Pro Forma'!C25</f>
        <v>185352.69311999995</v>
      </c>
      <c r="D1121" s="2213">
        <f>'Part VII-Pro Forma'!D25</f>
        <v>185417.4819824</v>
      </c>
      <c r="E1121" s="2213">
        <f>'Part VII-Pro Forma'!E25</f>
        <v>185374.78607204801</v>
      </c>
      <c r="F1121" s="2213">
        <f>'Part VII-Pro Forma'!F25</f>
        <v>185218.992676989</v>
      </c>
      <c r="G1121" s="2213">
        <f>'Part VII-Pro Forma'!G25</f>
        <v>184943.30674053376</v>
      </c>
      <c r="H1121" s="2213">
        <f>'Part VII-Pro Forma'!H25</f>
        <v>184543.74451164959</v>
      </c>
      <c r="I1121" s="2213">
        <f>'Part VII-Pro Forma'!I25</f>
        <v>184012.12698727674</v>
      </c>
      <c r="J1121" s="2213">
        <f>'Part VII-Pro Forma'!J25</f>
        <v>183344.07313997851</v>
      </c>
      <c r="K1121" s="2213">
        <f>'Part VII-Pro Forma'!K25</f>
        <v>182531.9929241229</v>
      </c>
      <c r="N1121" s="2043"/>
      <c r="O1121" s="2043"/>
      <c r="Q1121" s="2051">
        <v>5</v>
      </c>
      <c r="R1121" s="2140">
        <f>-SUM(B1128:F1128)</f>
        <v>146141</v>
      </c>
      <c r="S1121" s="2140">
        <f>SUM(B1129:F1129)+R1121</f>
        <v>181990.51053253346</v>
      </c>
      <c r="Z1121" s="1924" t="s">
        <v>6773</v>
      </c>
      <c r="AA1121" s="2051">
        <v>25</v>
      </c>
    </row>
    <row r="1122" spans="1:27" s="1852" customFormat="1" ht="13.35" customHeight="1">
      <c r="A1122" s="1852" t="s">
        <v>1525</v>
      </c>
      <c r="B1122" s="2214">
        <f>'Part VII-Pro Forma'!B26</f>
        <v>-141266.50429738068</v>
      </c>
      <c r="C1122" s="2214">
        <f>'Part VII-Pro Forma'!C26</f>
        <v>-141266.50429738068</v>
      </c>
      <c r="D1122" s="2214">
        <f>'Part VII-Pro Forma'!D26</f>
        <v>-141266.50429738068</v>
      </c>
      <c r="E1122" s="2214">
        <f>'Part VII-Pro Forma'!E26</f>
        <v>-141266.50429738068</v>
      </c>
      <c r="F1122" s="2214">
        <f>'Part VII-Pro Forma'!F26</f>
        <v>-141266.50429738068</v>
      </c>
      <c r="G1122" s="2214">
        <f>'Part VII-Pro Forma'!G26</f>
        <v>-141266.50429738068</v>
      </c>
      <c r="H1122" s="2214">
        <f>'Part VII-Pro Forma'!H26</f>
        <v>-141266.50429738068</v>
      </c>
      <c r="I1122" s="2214">
        <f>'Part VII-Pro Forma'!I26</f>
        <v>-141266.50429738068</v>
      </c>
      <c r="J1122" s="2214">
        <f>'Part VII-Pro Forma'!J26</f>
        <v>-141266.50429738068</v>
      </c>
      <c r="K1122" s="2214">
        <f>'Part VII-Pro Forma'!K26</f>
        <v>-141266.50429738068</v>
      </c>
      <c r="N1122" s="2043"/>
      <c r="O1122" s="2043"/>
      <c r="Q1122" s="2051">
        <v>6</v>
      </c>
      <c r="R1122" s="2140">
        <f>-SUM(B1128:G1128)</f>
        <v>146141</v>
      </c>
      <c r="S1122" s="2140">
        <f>SUM(B1129:G1129)+R1122</f>
        <v>217320.53964072652</v>
      </c>
      <c r="Z1122" s="1924" t="s">
        <v>6773</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146141</v>
      </c>
      <c r="S1123" s="2140">
        <f>SUM(B1129:H1129)+R1123</f>
        <v>252000.60331998664</v>
      </c>
      <c r="Z1123" s="1924" t="s">
        <v>6773</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146141</v>
      </c>
      <c r="S1124" s="2140">
        <f>SUM(B1129:I1129)+R1124</f>
        <v>285891.13417882362</v>
      </c>
      <c r="Z1124" s="1924" t="s">
        <v>6773</v>
      </c>
      <c r="AA1124" s="2051">
        <v>28</v>
      </c>
    </row>
    <row r="1125" spans="1:27" s="1852" customFormat="1" ht="13.35" customHeight="1">
      <c r="A1125" s="1852" t="s">
        <v>3420</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146141</v>
      </c>
      <c r="S1125" s="2140">
        <f>SUM(B1129:J1129)+R1125</f>
        <v>318847.9584354306</v>
      </c>
      <c r="Z1125" s="1924" t="s">
        <v>6773</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146141</v>
      </c>
      <c r="S1126" s="2140">
        <f>SUM(B1129:K1129)+R1126</f>
        <v>350719.08013860224</v>
      </c>
      <c r="Z1126" s="1924" t="s">
        <v>6773</v>
      </c>
      <c r="AA1126" s="2051">
        <v>30</v>
      </c>
    </row>
    <row r="1127" spans="1:27" s="1852" customFormat="1" ht="13.35" customHeight="1">
      <c r="A1127" s="1852" t="s">
        <v>1121</v>
      </c>
      <c r="B1127" s="2214">
        <f>'Part VII-Pro Forma'!B31</f>
        <v>-7200</v>
      </c>
      <c r="C1127" s="2214">
        <f>'Part VII-Pro Forma'!C31</f>
        <v>-7416</v>
      </c>
      <c r="D1127" s="2214">
        <f>'Part VII-Pro Forma'!D31</f>
        <v>-7638.4800000000005</v>
      </c>
      <c r="E1127" s="2214">
        <f>'Part VII-Pro Forma'!E31</f>
        <v>-7867.6344000000008</v>
      </c>
      <c r="F1127" s="2214">
        <f>'Part VII-Pro Forma'!F31</f>
        <v>-8103.6634320000012</v>
      </c>
      <c r="G1127" s="2214">
        <f>'Part VII-Pro Forma'!G31</f>
        <v>-8346.7733349600021</v>
      </c>
      <c r="H1127" s="2214">
        <f>'Part VII-Pro Forma'!H31</f>
        <v>-8597.1765350088026</v>
      </c>
      <c r="I1127" s="2214">
        <f>'Part VII-Pro Forma'!I31</f>
        <v>-8855.0918310590678</v>
      </c>
      <c r="J1127" s="2214">
        <f>'Part VII-Pro Forma'!J31</f>
        <v>-9120.7445859908403</v>
      </c>
      <c r="K1127" s="2214">
        <f>'Part VII-Pro Forma'!K31</f>
        <v>-9394.3669235705656</v>
      </c>
      <c r="N1127" s="2043"/>
      <c r="O1127" s="2043"/>
      <c r="Q1127" s="2051">
        <v>11</v>
      </c>
      <c r="R1127" s="2140">
        <f>-SUM(B1128:K1128)-B1160</f>
        <v>146141</v>
      </c>
      <c r="S1127" s="2140">
        <f>SUM(B1129:K1129)+B1161+R1127</f>
        <v>381345.45796353434</v>
      </c>
      <c r="Z1127" s="1924" t="s">
        <v>6773</v>
      </c>
      <c r="AA1127" s="2051">
        <v>31</v>
      </c>
    </row>
    <row r="1128" spans="1:27" s="1852" customFormat="1" ht="13.35" customHeight="1">
      <c r="A1128" s="1852" t="s">
        <v>3509</v>
      </c>
      <c r="B1128" s="2214">
        <f>'Part VII-Pro Forma'!B32</f>
        <v>-36718</v>
      </c>
      <c r="C1128" s="2214">
        <f>'Part VII-Pro Forma'!C32</f>
        <v>-36670</v>
      </c>
      <c r="D1128" s="2214">
        <f>'Part VII-Pro Forma'!D32</f>
        <v>-36512</v>
      </c>
      <c r="E1128" s="2214">
        <f>'Part VII-Pro Forma'!E32</f>
        <v>-36241</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146141</v>
      </c>
      <c r="S1128" s="2140">
        <f>SUM(B1129:K1129) + SUM(B1161:C1161)+R1128</f>
        <v>410560.77434071462</v>
      </c>
      <c r="Z1128" s="1924" t="s">
        <v>6773</v>
      </c>
      <c r="AA1128" s="2051">
        <v>32</v>
      </c>
    </row>
    <row r="1129" spans="1:27" s="1852" customFormat="1" ht="13.35" customHeight="1">
      <c r="A1129" s="1852" t="s">
        <v>1122</v>
      </c>
      <c r="B1129" s="2213">
        <f>'Part VII-Pro Forma'!B33</f>
        <v>0.35170261922758073</v>
      </c>
      <c r="C1129" s="2213">
        <f>'Part VII-Pro Forma'!C33</f>
        <v>0.18882261926773936</v>
      </c>
      <c r="D1129" s="2213">
        <f>'Part VII-Pro Forma'!D33</f>
        <v>0.49768501931248466</v>
      </c>
      <c r="E1129" s="2213">
        <f>'Part VII-Pro Forma'!E33</f>
        <v>-0.35262533267814433</v>
      </c>
      <c r="F1129" s="2213">
        <f>'Part VII-Pro Forma'!F33</f>
        <v>35848.824947608315</v>
      </c>
      <c r="G1129" s="2213">
        <f>'Part VII-Pro Forma'!G33</f>
        <v>35330.029108193077</v>
      </c>
      <c r="H1129" s="2213">
        <f>'Part VII-Pro Forma'!H33</f>
        <v>34680.063679260107</v>
      </c>
      <c r="I1129" s="2213">
        <f>'Part VII-Pro Forma'!I33</f>
        <v>33890.530858836995</v>
      </c>
      <c r="J1129" s="2213">
        <f>'Part VII-Pro Forma'!J33</f>
        <v>32956.824256606989</v>
      </c>
      <c r="K1129" s="2213">
        <f>'Part VII-Pro Forma'!K33</f>
        <v>31871.121703171644</v>
      </c>
      <c r="N1129" s="2043"/>
      <c r="O1129" s="2043"/>
      <c r="Q1129" s="2051">
        <v>13</v>
      </c>
      <c r="R1129" s="2140">
        <f>-SUM(B1128:K1128) - SUM(B1160:D1160)</f>
        <v>146141</v>
      </c>
      <c r="S1129" s="2140">
        <f>SUM(B1129:K1129) + SUM(B1161:D1161)+R1129</f>
        <v>438192.19666848233</v>
      </c>
      <c r="Z1129" s="1924" t="s">
        <v>6773</v>
      </c>
      <c r="AA1129" s="1929">
        <v>33</v>
      </c>
    </row>
    <row r="1130" spans="1:27" s="1852" customFormat="1" ht="13.35" customHeight="1">
      <c r="A1130" s="1852" t="str">
        <f>IF('Part III-Sources of Funds'!$E$40 = "Neither", "", "DCR Mortgage A")</f>
        <v>DCR Mortgage A</v>
      </c>
      <c r="B1130" s="2215">
        <f>'Part VII-Pro Forma'!B34</f>
        <v>1.3108900579161111</v>
      </c>
      <c r="C1130" s="2215">
        <f>'Part VII-Pro Forma'!C34</f>
        <v>1.3120781464926268</v>
      </c>
      <c r="D1130" s="2215">
        <f>'Part VII-Pro Forma'!D34</f>
        <v>1.3125367751160382</v>
      </c>
      <c r="E1130" s="2215">
        <f>'Part VII-Pro Forma'!E34</f>
        <v>1.3122345384990544</v>
      </c>
      <c r="F1130" s="2215">
        <f>'Part VII-Pro Forma'!F34</f>
        <v>1.3111317052702298</v>
      </c>
      <c r="G1130" s="2215">
        <f>'Part VII-Pro Forma'!G34</f>
        <v>1.3091801744538738</v>
      </c>
      <c r="H1130" s="2215">
        <f>'Part VII-Pro Forma'!H34</f>
        <v>1.3063517457978986</v>
      </c>
      <c r="I1130" s="2215">
        <f>'Part VII-Pro Forma'!I34</f>
        <v>1.3025885216208939</v>
      </c>
      <c r="J1130" s="2215">
        <f>'Part VII-Pro Forma'!J34</f>
        <v>1.2978594894230566</v>
      </c>
      <c r="K1130" s="2215">
        <f>'Part VII-Pro Forma'!K34</f>
        <v>1.2921109206459449</v>
      </c>
      <c r="N1130" s="2043"/>
      <c r="O1130" s="2043"/>
      <c r="Q1130" s="2051">
        <v>14</v>
      </c>
      <c r="R1130" s="2140">
        <f>-SUM(B1128:K1128) - SUM(B1160:E1160)</f>
        <v>146141</v>
      </c>
      <c r="S1130" s="2140">
        <f>SUM(B1129:K1129) + SUM(B1161:E1161)+R1130</f>
        <v>464057.13035196182</v>
      </c>
      <c r="Z1130" s="1924" t="s">
        <v>6773</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146141</v>
      </c>
      <c r="S1131" s="2140">
        <f>SUM(B1129:K1129) + SUM(B1161:F1161)+R1131</f>
        <v>487966.96340296359</v>
      </c>
      <c r="Z1131" s="1924" t="s">
        <v>6773</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146141</v>
      </c>
      <c r="S1132" s="2140">
        <f>SUM(B1129:K1129) + SUM(B1161:G1161)+R1132</f>
        <v>509722.80232707516</v>
      </c>
      <c r="Z1132" s="1924" t="s">
        <v>6773</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146141</v>
      </c>
      <c r="S1133" s="2140">
        <f>SUM(B1129:K1129) + SUM(B1161:H1161)+R1133</f>
        <v>529118.19901554333</v>
      </c>
      <c r="Z1133" s="1924" t="s">
        <v>6773</v>
      </c>
      <c r="AA1133" s="2051">
        <v>37</v>
      </c>
    </row>
    <row r="1134" spans="1:27" s="1852" customFormat="1" ht="13.35" customHeight="1">
      <c r="A1134" s="1852" t="s">
        <v>3343</v>
      </c>
      <c r="B1134" s="2215">
        <f>'Part VII-Pro Forma'!B38</f>
        <v>1.3108900579161111</v>
      </c>
      <c r="C1134" s="2215">
        <f>'Part VII-Pro Forma'!C38</f>
        <v>1.3120781464926268</v>
      </c>
      <c r="D1134" s="2215">
        <f>'Part VII-Pro Forma'!D38</f>
        <v>1.3125367751160382</v>
      </c>
      <c r="E1134" s="2215">
        <f>'Part VII-Pro Forma'!E38</f>
        <v>1.3122345384990544</v>
      </c>
      <c r="F1134" s="2215">
        <f>'Part VII-Pro Forma'!F38</f>
        <v>1.3111317052702298</v>
      </c>
      <c r="G1134" s="2215">
        <f>'Part VII-Pro Forma'!G38</f>
        <v>1.3091801744538738</v>
      </c>
      <c r="H1134" s="2215">
        <f>'Part VII-Pro Forma'!H38</f>
        <v>1.3063517457978986</v>
      </c>
      <c r="I1134" s="2215">
        <f>'Part VII-Pro Forma'!I38</f>
        <v>1.3025885216208939</v>
      </c>
      <c r="J1134" s="2215">
        <f>'Part VII-Pro Forma'!J38</f>
        <v>1.2978594894230566</v>
      </c>
      <c r="K1134" s="2215">
        <f>'Part VII-Pro Forma'!K38</f>
        <v>1.2921109206459449</v>
      </c>
      <c r="N1134" s="2043"/>
      <c r="O1134" s="2043"/>
      <c r="Q1134" s="2051">
        <v>18</v>
      </c>
      <c r="R1134" s="2140">
        <f>-SUM(B1128:K1128) - SUM(B1160:I1160)</f>
        <v>146141</v>
      </c>
      <c r="S1134" s="2140">
        <f>SUM(B1129:K1129) + SUM(B1161:I1161)+R1134</f>
        <v>545937.86835065298</v>
      </c>
      <c r="Z1134" s="1924" t="s">
        <v>6773</v>
      </c>
      <c r="AA1134" s="2051">
        <v>38</v>
      </c>
    </row>
    <row r="1135" spans="1:27" s="1852" customFormat="1" ht="13.35" customHeight="1">
      <c r="A1135" s="1852" t="s">
        <v>740</v>
      </c>
      <c r="B1135" s="2215">
        <f>'Part VII-Pro Forma'!B39</f>
        <v>1.5237394890011366</v>
      </c>
      <c r="C1135" s="2215">
        <f>'Part VII-Pro Forma'!C39</f>
        <v>1.5089457359973308</v>
      </c>
      <c r="D1135" s="2215">
        <f>'Part VII-Pro Forma'!D39</f>
        <v>1.4942943034777643</v>
      </c>
      <c r="E1135" s="2215">
        <f>'Part VII-Pro Forma'!E39</f>
        <v>1.4797870130917092</v>
      </c>
      <c r="F1135" s="2215">
        <f>'Part VII-Pro Forma'!F39</f>
        <v>1.4654216218205964</v>
      </c>
      <c r="G1135" s="2215">
        <f>'Part VII-Pro Forma'!G39</f>
        <v>1.4511925634593044</v>
      </c>
      <c r="H1135" s="2215">
        <f>'Part VII-Pro Forma'!H39</f>
        <v>1.4371052214450049</v>
      </c>
      <c r="I1135" s="2215">
        <f>'Part VII-Pro Forma'!I39</f>
        <v>1.4231509763324188</v>
      </c>
      <c r="J1135" s="2215">
        <f>'Part VII-Pro Forma'!J39</f>
        <v>1.4093349834379669</v>
      </c>
      <c r="K1135" s="2215">
        <f>'Part VII-Pro Forma'!K39</f>
        <v>1.3956524522915257</v>
      </c>
      <c r="N1135" s="2043"/>
      <c r="O1135" s="2043"/>
      <c r="Q1135" s="2051">
        <v>19</v>
      </c>
      <c r="R1135" s="2140">
        <f>-SUM(B1128:K1128) - SUM(B1160:J1160)</f>
        <v>146141</v>
      </c>
      <c r="S1135" s="2140">
        <f>SUM(B1129:K1129) + SUM(B1161:J1161)+R1135</f>
        <v>559956.39622414438</v>
      </c>
      <c r="Z1135" s="1924" t="s">
        <v>6773</v>
      </c>
      <c r="AA1135" s="2051">
        <v>39</v>
      </c>
    </row>
    <row r="1136" spans="1:27" s="1852" customFormat="1" ht="13.35" customHeight="1">
      <c r="A1136" s="1852" t="s">
        <v>2493</v>
      </c>
      <c r="B1136" s="2214">
        <f>'Part VII-Pro Forma'!B40</f>
        <v>2265059.1923129624</v>
      </c>
      <c r="C1136" s="2214">
        <f>'Part VII-Pro Forma'!C40</f>
        <v>2239853.8043891368</v>
      </c>
      <c r="D1136" s="2214">
        <f>'Part VII-Pro Forma'!D40</f>
        <v>2213319.2563655786</v>
      </c>
      <c r="E1136" s="2214">
        <f>'Part VII-Pro Forma'!E40</f>
        <v>2185385.4574118638</v>
      </c>
      <c r="F1136" s="2214">
        <f>'Part VII-Pro Forma'!F40</f>
        <v>2155978.6205856339</v>
      </c>
      <c r="G1136" s="2214">
        <f>'Part VII-Pro Forma'!G40</f>
        <v>2125021.0679248804</v>
      </c>
      <c r="H1136" s="2214">
        <f>'Part VII-Pro Forma'!H40</f>
        <v>2092431.0252621321</v>
      </c>
      <c r="I1136" s="2214">
        <f>'Part VII-Pro Forma'!I40</f>
        <v>2058122.4062185388</v>
      </c>
      <c r="J1136" s="2214">
        <f>'Part VII-Pro Forma'!J40</f>
        <v>2022004.5848072811</v>
      </c>
      <c r="K1136" s="2214">
        <f>'Part VII-Pro Forma'!K40</f>
        <v>1983982.1560456345</v>
      </c>
      <c r="N1136" s="2043"/>
      <c r="O1136" s="2043"/>
      <c r="Q1136" s="2051">
        <v>20</v>
      </c>
      <c r="R1136" s="2140">
        <f>-SUM(B1128:K1128) - SUM(B1160:K1160)</f>
        <v>146141</v>
      </c>
      <c r="S1136" s="2140">
        <f>SUM(B1129:K1129) + SUM(B1161:K1161)+R1136</f>
        <v>570937.93765875732</v>
      </c>
      <c r="Z1136" s="1924" t="s">
        <v>6773</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6773</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6773</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6773</v>
      </c>
      <c r="AA1139" s="2051">
        <v>43</v>
      </c>
    </row>
    <row r="1140" spans="1:27" s="1852" customFormat="1" ht="13.35" customHeight="1">
      <c r="A1140" s="1852" t="s">
        <v>3510</v>
      </c>
      <c r="B1140" s="2214">
        <f>'Part VII-Pro Forma'!B44</f>
        <v>106900</v>
      </c>
      <c r="C1140" s="2214">
        <f>'Part VII-Pro Forma'!C44</f>
        <v>70230</v>
      </c>
      <c r="D1140" s="2214">
        <f>'Part VII-Pro Forma'!D44</f>
        <v>33718</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6773</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692340.07078022219</v>
      </c>
      <c r="C1143" s="2213">
        <f>'Part VII-Pro Forma'!C47</f>
        <v>706186.87219582661</v>
      </c>
      <c r="D1143" s="2213">
        <f>'Part VII-Pro Forma'!D47</f>
        <v>720310.60963974323</v>
      </c>
      <c r="E1143" s="2213">
        <f>'Part VII-Pro Forma'!E47</f>
        <v>734716.821832538</v>
      </c>
      <c r="F1143" s="2213">
        <f>'Part VII-Pro Forma'!F47</f>
        <v>749411.15826918883</v>
      </c>
      <c r="G1143" s="2213">
        <f>'Part VII-Pro Forma'!G47</f>
        <v>764399.38143457239</v>
      </c>
      <c r="H1143" s="2213">
        <f>'Part VII-Pro Forma'!H47</f>
        <v>779687.36906326399</v>
      </c>
      <c r="I1143" s="2213">
        <f>'Part VII-Pro Forma'!I47</f>
        <v>795281.11644452938</v>
      </c>
      <c r="J1143" s="2213">
        <f>'Part VII-Pro Forma'!J47</f>
        <v>811186.73877341987</v>
      </c>
      <c r="K1143" s="2213">
        <f>'Part VII-Pro Forma'!K47</f>
        <v>827410.47354888823</v>
      </c>
      <c r="N1143" s="2043"/>
      <c r="O1143" s="2043"/>
      <c r="Z1143" s="1924" t="s">
        <v>6774</v>
      </c>
      <c r="AA1143" s="1929">
        <v>47</v>
      </c>
    </row>
    <row r="1144" spans="1:27" s="1852" customFormat="1" ht="13.35" customHeight="1">
      <c r="A1144" s="1852" t="s">
        <v>977</v>
      </c>
      <c r="B1144" s="2213">
        <f>'Part VII-Pro Forma'!B48</f>
        <v>13846.801415604446</v>
      </c>
      <c r="C1144" s="2213">
        <f>'Part VII-Pro Forma'!C48</f>
        <v>14123.737443916532</v>
      </c>
      <c r="D1144" s="2213">
        <f>'Part VII-Pro Forma'!D48</f>
        <v>14406.212192794865</v>
      </c>
      <c r="E1144" s="2213">
        <f>'Part VII-Pro Forma'!E48</f>
        <v>14694.336436650761</v>
      </c>
      <c r="F1144" s="2213">
        <f>'Part VII-Pro Forma'!F48</f>
        <v>14988.223165383779</v>
      </c>
      <c r="G1144" s="2213">
        <f>'Part VII-Pro Forma'!G48</f>
        <v>15287.98762869145</v>
      </c>
      <c r="H1144" s="2213">
        <f>'Part VII-Pro Forma'!H48</f>
        <v>15593.747381265281</v>
      </c>
      <c r="I1144" s="2213">
        <f>'Part VII-Pro Forma'!I48</f>
        <v>15905.622328890588</v>
      </c>
      <c r="J1144" s="2213">
        <f>'Part VII-Pro Forma'!J48</f>
        <v>16223.734775468398</v>
      </c>
      <c r="K1144" s="2213">
        <f>'Part VII-Pro Forma'!K48</f>
        <v>16548.209470977767</v>
      </c>
      <c r="N1144" s="2043"/>
      <c r="O1144" s="2043"/>
      <c r="Z1144" s="1924" t="s">
        <v>6774</v>
      </c>
      <c r="AA1144" s="2051">
        <v>48</v>
      </c>
    </row>
    <row r="1145" spans="1:27" s="1852" customFormat="1" ht="13.35" customHeight="1">
      <c r="A1145" s="1852" t="s">
        <v>2295</v>
      </c>
      <c r="B1145" s="2213">
        <f>'Part VII-Pro Forma'!B49</f>
        <v>-49433.081053707865</v>
      </c>
      <c r="C1145" s="2213">
        <f>'Part VII-Pro Forma'!C49</f>
        <v>-50421.742674782021</v>
      </c>
      <c r="D1145" s="2213">
        <f>'Part VII-Pro Forma'!D49</f>
        <v>-51430.177528277673</v>
      </c>
      <c r="E1145" s="2213">
        <f>'Part VII-Pro Forma'!E49</f>
        <v>-52458.781078843218</v>
      </c>
      <c r="F1145" s="2213">
        <f>'Part VII-Pro Forma'!F49</f>
        <v>-53507.956700420087</v>
      </c>
      <c r="G1145" s="2213">
        <f>'Part VII-Pro Forma'!G49</f>
        <v>-54578.115834428478</v>
      </c>
      <c r="H1145" s="2213">
        <f>'Part VII-Pro Forma'!H49</f>
        <v>-55669.678151117056</v>
      </c>
      <c r="I1145" s="2213">
        <f>'Part VII-Pro Forma'!I49</f>
        <v>-56783.071714139405</v>
      </c>
      <c r="J1145" s="2213">
        <f>'Part VII-Pro Forma'!J49</f>
        <v>-57918.73314842218</v>
      </c>
      <c r="K1145" s="2213">
        <f>'Part VII-Pro Forma'!K49</f>
        <v>-59077.107811390626</v>
      </c>
      <c r="N1145" s="2043"/>
      <c r="O1145" s="2043"/>
      <c r="Z1145" s="1924" t="s">
        <v>6774</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6774</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6774</v>
      </c>
      <c r="AA1147" s="2051">
        <v>51</v>
      </c>
    </row>
    <row r="1148" spans="1:27" s="1852" customFormat="1" ht="13.35" customHeight="1">
      <c r="A1148" s="1852" t="s">
        <v>4014</v>
      </c>
      <c r="B1148" s="2213">
        <f>'Part VII-Pro Forma'!B52</f>
        <v>656753.79114211875</v>
      </c>
      <c r="C1148" s="2213">
        <f>'Part VII-Pro Forma'!C52</f>
        <v>669888.86696496105</v>
      </c>
      <c r="D1148" s="2213">
        <f>'Part VII-Pro Forma'!D52</f>
        <v>683286.6443042605</v>
      </c>
      <c r="E1148" s="2213">
        <f>'Part VII-Pro Forma'!E52</f>
        <v>696952.37719034555</v>
      </c>
      <c r="F1148" s="2213">
        <f>'Part VII-Pro Forma'!F52</f>
        <v>710891.4247341525</v>
      </c>
      <c r="G1148" s="2213">
        <f>'Part VII-Pro Forma'!G52</f>
        <v>725109.25322883541</v>
      </c>
      <c r="H1148" s="2213">
        <f>'Part VII-Pro Forma'!H52</f>
        <v>739611.43829341221</v>
      </c>
      <c r="I1148" s="2213">
        <f>'Part VII-Pro Forma'!I52</f>
        <v>754403.66705928056</v>
      </c>
      <c r="J1148" s="2213">
        <f>'Part VII-Pro Forma'!J52</f>
        <v>769491.74040046602</v>
      </c>
      <c r="K1148" s="2213">
        <f>'Part VII-Pro Forma'!K52</f>
        <v>784881.57520847535</v>
      </c>
      <c r="N1148" s="2043"/>
      <c r="O1148" s="2043"/>
      <c r="Z1148" s="1924" t="s">
        <v>6774</v>
      </c>
      <c r="AA1148" s="2051">
        <v>52</v>
      </c>
    </row>
    <row r="1149" spans="1:27" s="1852" customFormat="1" ht="13.35" customHeight="1">
      <c r="A1149" s="1852" t="s">
        <v>585</v>
      </c>
      <c r="B1149" s="2213">
        <f>'Part VII-Pro Forma'!B53</f>
        <v>-411171.21626033407</v>
      </c>
      <c r="C1149" s="2213">
        <f>'Part VII-Pro Forma'!C53</f>
        <v>-423506.35274814407</v>
      </c>
      <c r="D1149" s="2213">
        <f>'Part VII-Pro Forma'!D53</f>
        <v>-436211.54333058838</v>
      </c>
      <c r="E1149" s="2213">
        <f>'Part VII-Pro Forma'!E53</f>
        <v>-449297.88963050599</v>
      </c>
      <c r="F1149" s="2213">
        <f>'Part VII-Pro Forma'!F53</f>
        <v>-462776.82631942123</v>
      </c>
      <c r="G1149" s="2213">
        <f>'Part VII-Pro Forma'!G53</f>
        <v>-476660.13110900385</v>
      </c>
      <c r="H1149" s="2213">
        <f>'Part VII-Pro Forma'!H53</f>
        <v>-490959.93504227389</v>
      </c>
      <c r="I1149" s="2213">
        <f>'Part VII-Pro Forma'!I53</f>
        <v>-505688.73309354211</v>
      </c>
      <c r="J1149" s="2213">
        <f>'Part VII-Pro Forma'!J53</f>
        <v>-520859.39508634841</v>
      </c>
      <c r="K1149" s="2213">
        <f>'Part VII-Pro Forma'!K53</f>
        <v>-536485.17693893879</v>
      </c>
      <c r="N1149" s="2043"/>
      <c r="O1149" s="2043"/>
      <c r="Z1149" s="1924" t="s">
        <v>6774</v>
      </c>
      <c r="AA1149" s="2051">
        <v>53</v>
      </c>
    </row>
    <row r="1150" spans="1:27" s="1852" customFormat="1" ht="13.35" customHeight="1">
      <c r="A1150" s="1852" t="s">
        <v>1075</v>
      </c>
      <c r="B1150" s="2213">
        <f>'Part VII-Pro Forma'!B54</f>
        <v>-39823</v>
      </c>
      <c r="C1150" s="2213">
        <f>'Part VII-Pro Forma'!C54</f>
        <v>-41018</v>
      </c>
      <c r="D1150" s="2213">
        <f>'Part VII-Pro Forma'!D54</f>
        <v>-42248</v>
      </c>
      <c r="E1150" s="2213">
        <f>'Part VII-Pro Forma'!E54</f>
        <v>-43516</v>
      </c>
      <c r="F1150" s="2213">
        <f>'Part VII-Pro Forma'!F54</f>
        <v>-44821</v>
      </c>
      <c r="G1150" s="2213">
        <f>'Part VII-Pro Forma'!G54</f>
        <v>-46166</v>
      </c>
      <c r="H1150" s="2213">
        <f>'Part VII-Pro Forma'!H54</f>
        <v>-47551</v>
      </c>
      <c r="I1150" s="2213">
        <f>'Part VII-Pro Forma'!I54</f>
        <v>-48977</v>
      </c>
      <c r="J1150" s="2213">
        <f>'Part VII-Pro Forma'!J54</f>
        <v>-50446</v>
      </c>
      <c r="K1150" s="2213">
        <f>'Part VII-Pro Forma'!K54</f>
        <v>-51960</v>
      </c>
      <c r="N1150" s="2043"/>
      <c r="O1150" s="2043"/>
      <c r="Z1150" s="1924" t="s">
        <v>6774</v>
      </c>
      <c r="AA1150" s="2051">
        <v>54</v>
      </c>
    </row>
    <row r="1151" spans="1:27" s="1852" customFormat="1" ht="13.35" customHeight="1">
      <c r="A1151" s="1852" t="s">
        <v>1156</v>
      </c>
      <c r="B1151" s="2213">
        <f>'Part VII-Pro Forma'!B55</f>
        <v>-24190.494828194191</v>
      </c>
      <c r="C1151" s="2213">
        <f>'Part VII-Pro Forma'!C55</f>
        <v>-24916.209673040019</v>
      </c>
      <c r="D1151" s="2213">
        <f>'Part VII-Pro Forma'!D55</f>
        <v>-25663.695963231214</v>
      </c>
      <c r="E1151" s="2213">
        <f>'Part VII-Pro Forma'!E55</f>
        <v>-26433.606842128149</v>
      </c>
      <c r="F1151" s="2213">
        <f>'Part VII-Pro Forma'!F55</f>
        <v>-27226.615047391999</v>
      </c>
      <c r="G1151" s="2213">
        <f>'Part VII-Pro Forma'!G55</f>
        <v>-28043.413498813759</v>
      </c>
      <c r="H1151" s="2213">
        <f>'Part VII-Pro Forma'!H55</f>
        <v>-28884.715903778168</v>
      </c>
      <c r="I1151" s="2213">
        <f>'Part VII-Pro Forma'!I55</f>
        <v>-29751.257380891511</v>
      </c>
      <c r="J1151" s="2213">
        <f>'Part VII-Pro Forma'!J55</f>
        <v>-30643.795102318258</v>
      </c>
      <c r="K1151" s="2213">
        <f>'Part VII-Pro Forma'!K55</f>
        <v>-31563.108955387805</v>
      </c>
      <c r="N1151" s="2043"/>
      <c r="O1151" s="2043"/>
      <c r="Q1151" s="2051">
        <v>10</v>
      </c>
      <c r="R1151" s="2140">
        <f>-SUM(B1157:K1157)</f>
        <v>0</v>
      </c>
      <c r="S1151" s="2140">
        <f>SUM(B1158:K1158)+R1151</f>
        <v>0</v>
      </c>
      <c r="Z1151" s="1924" t="s">
        <v>6774</v>
      </c>
      <c r="AA1151" s="2051">
        <v>55</v>
      </c>
    </row>
    <row r="1152" spans="1:27" s="1852" customFormat="1" ht="13.35" customHeight="1">
      <c r="A1152" s="1852" t="s">
        <v>4013</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6774</v>
      </c>
      <c r="AA1152" s="2051">
        <v>56</v>
      </c>
    </row>
    <row r="1153" spans="1:27" s="1852" customFormat="1" ht="13.35" customHeight="1">
      <c r="A1153" s="1852" t="s">
        <v>1157</v>
      </c>
      <c r="B1153" s="2213">
        <f>'Part VII-Pro Forma'!B57</f>
        <v>181569.08005359047</v>
      </c>
      <c r="C1153" s="2213">
        <f>'Part VII-Pro Forma'!C57</f>
        <v>180448.30454377696</v>
      </c>
      <c r="D1153" s="2213">
        <f>'Part VII-Pro Forma'!D57</f>
        <v>179163.40501044091</v>
      </c>
      <c r="E1153" s="2213">
        <f>'Part VII-Pro Forma'!E57</f>
        <v>177704.88071771141</v>
      </c>
      <c r="F1153" s="2213">
        <f>'Part VII-Pro Forma'!F57</f>
        <v>176066.98336733927</v>
      </c>
      <c r="G1153" s="2213">
        <f>'Part VII-Pro Forma'!G57</f>
        <v>174239.70862101781</v>
      </c>
      <c r="H1153" s="2213">
        <f>'Part VII-Pro Forma'!H57</f>
        <v>172215.78734736016</v>
      </c>
      <c r="I1153" s="2213">
        <f>'Part VII-Pro Forma'!I57</f>
        <v>169986.67658484695</v>
      </c>
      <c r="J1153" s="2213">
        <f>'Part VII-Pro Forma'!J57</f>
        <v>167542.55021179936</v>
      </c>
      <c r="K1153" s="2213">
        <f>'Part VII-Pro Forma'!K57</f>
        <v>164873.28931414874</v>
      </c>
      <c r="N1153" s="2043"/>
      <c r="O1153" s="2043"/>
      <c r="Z1153" s="1924" t="s">
        <v>6774</v>
      </c>
      <c r="AA1153" s="2051">
        <v>57</v>
      </c>
    </row>
    <row r="1154" spans="1:27" s="1852" customFormat="1" ht="13.35" customHeight="1">
      <c r="A1154" s="1852" t="str">
        <f>$A1122</f>
        <v>Mortgage A</v>
      </c>
      <c r="B1154" s="2214">
        <f>'Part VII-Pro Forma'!B58</f>
        <v>-141266.50429738068</v>
      </c>
      <c r="C1154" s="2214">
        <f>'Part VII-Pro Forma'!C58</f>
        <v>-141266.50429738068</v>
      </c>
      <c r="D1154" s="2214">
        <f>'Part VII-Pro Forma'!D58</f>
        <v>-141266.50429738068</v>
      </c>
      <c r="E1154" s="2214">
        <f>'Part VII-Pro Forma'!E58</f>
        <v>-141266.50429738068</v>
      </c>
      <c r="F1154" s="2214">
        <f>'Part VII-Pro Forma'!F58</f>
        <v>-141266.50429738068</v>
      </c>
      <c r="G1154" s="2214">
        <f>'Part VII-Pro Forma'!G58</f>
        <v>-141266.50429738068</v>
      </c>
      <c r="H1154" s="2214">
        <f>'Part VII-Pro Forma'!H58</f>
        <v>-141266.50429738068</v>
      </c>
      <c r="I1154" s="2214">
        <f>'Part VII-Pro Forma'!I58</f>
        <v>-141266.50429738068</v>
      </c>
      <c r="J1154" s="2214">
        <f>'Part VII-Pro Forma'!J58</f>
        <v>-141266.50429738068</v>
      </c>
      <c r="K1154" s="2214">
        <f>'Part VII-Pro Forma'!K58</f>
        <v>-141266.50429738068</v>
      </c>
      <c r="N1154" s="2043"/>
      <c r="O1154" s="2043"/>
      <c r="Z1154" s="1924" t="s">
        <v>6774</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6774</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6774</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6774</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6774</v>
      </c>
      <c r="AA1158" s="2051">
        <v>62</v>
      </c>
    </row>
    <row r="1159" spans="1:27" s="1852" customFormat="1" ht="13.35" customHeight="1">
      <c r="A1159" s="1852" t="s">
        <v>1121</v>
      </c>
      <c r="B1159" s="2214">
        <f>'Part VII-Pro Forma'!B63</f>
        <v>-9676.1979312776821</v>
      </c>
      <c r="C1159" s="2214">
        <f>'Part VII-Pro Forma'!C63</f>
        <v>-9966.483869216012</v>
      </c>
      <c r="D1159" s="2214">
        <f>'Part VII-Pro Forma'!D63</f>
        <v>-10265.478385292492</v>
      </c>
      <c r="E1159" s="2214">
        <f>'Part VII-Pro Forma'!E63</f>
        <v>-10573.442736851268</v>
      </c>
      <c r="F1159" s="2214">
        <f>'Part VII-Pro Forma'!F63</f>
        <v>-10890.646018956806</v>
      </c>
      <c r="G1159" s="2214">
        <f>'Part VII-Pro Forma'!G63</f>
        <v>-11217.36539952551</v>
      </c>
      <c r="H1159" s="2214">
        <f>'Part VII-Pro Forma'!H63</f>
        <v>-11553.886361511275</v>
      </c>
      <c r="I1159" s="2214">
        <f>'Part VII-Pro Forma'!I63</f>
        <v>-11900.502952356614</v>
      </c>
      <c r="J1159" s="2214">
        <f>'Part VII-Pro Forma'!J63</f>
        <v>-12257.518040927313</v>
      </c>
      <c r="K1159" s="2214">
        <f>'Part VII-Pro Forma'!K63</f>
        <v>-12625.243582155132</v>
      </c>
      <c r="N1159" s="2043"/>
      <c r="O1159" s="2043"/>
      <c r="Z1159" s="1924" t="s">
        <v>6774</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6774</v>
      </c>
      <c r="AA1160" s="2051">
        <v>64</v>
      </c>
    </row>
    <row r="1161" spans="1:27" s="1852" customFormat="1" ht="13.35" customHeight="1">
      <c r="A1161" s="1852" t="s">
        <v>1122</v>
      </c>
      <c r="B1161" s="2213">
        <f>'Part VII-Pro Forma'!B65</f>
        <v>30626.377824932104</v>
      </c>
      <c r="C1161" s="2213">
        <f>'Part VII-Pro Forma'!C65</f>
        <v>29215.316377180265</v>
      </c>
      <c r="D1161" s="2213">
        <f>'Part VII-Pro Forma'!D65</f>
        <v>27631.422327767734</v>
      </c>
      <c r="E1161" s="2213">
        <f>'Part VII-Pro Forma'!E65</f>
        <v>25864.933683479452</v>
      </c>
      <c r="F1161" s="2213">
        <f>'Part VII-Pro Forma'!F65</f>
        <v>23909.83305100178</v>
      </c>
      <c r="G1161" s="2213">
        <f>'Part VII-Pro Forma'!G65</f>
        <v>21755.838924111617</v>
      </c>
      <c r="H1161" s="2213">
        <f>'Part VII-Pro Forma'!H65</f>
        <v>19395.396688468205</v>
      </c>
      <c r="I1161" s="2213">
        <f>'Part VII-Pro Forma'!I65</f>
        <v>16819.669335109655</v>
      </c>
      <c r="J1161" s="2213">
        <f>'Part VII-Pro Forma'!J65</f>
        <v>14018.527873491363</v>
      </c>
      <c r="K1161" s="2213">
        <f>'Part VII-Pro Forma'!K65</f>
        <v>10981.541434612927</v>
      </c>
      <c r="N1161" s="2043"/>
      <c r="O1161" s="2043"/>
      <c r="Z1161" s="1924" t="s">
        <v>6774</v>
      </c>
      <c r="AA1161" s="2051">
        <v>65</v>
      </c>
    </row>
    <row r="1162" spans="1:27" s="1852" customFormat="1" ht="13.35" customHeight="1">
      <c r="A1162" s="1852" t="str">
        <f>$A1130</f>
        <v>DCR Mortgage A</v>
      </c>
      <c r="B1162" s="2215">
        <f>'Part VII-Pro Forma'!B66</f>
        <v>1.285294634822765</v>
      </c>
      <c r="C1162" s="2215">
        <f>'Part VII-Pro Forma'!C66</f>
        <v>1.277360867965661</v>
      </c>
      <c r="D1162" s="2215">
        <f>'Part VII-Pro Forma'!D66</f>
        <v>1.2682652968695489</v>
      </c>
      <c r="E1162" s="2215">
        <f>'Part VII-Pro Forma'!E66</f>
        <v>1.2579406675458193</v>
      </c>
      <c r="F1162" s="2215">
        <f>'Part VII-Pro Forma'!F66</f>
        <v>1.2463462888322059</v>
      </c>
      <c r="G1162" s="2215">
        <f>'Part VII-Pro Forma'!G66</f>
        <v>1.2334113418296604</v>
      </c>
      <c r="H1162" s="2215">
        <f>'Part VII-Pro Forma'!H66</f>
        <v>1.219084369673564</v>
      </c>
      <c r="I1162" s="2215">
        <f>'Part VII-Pro Forma'!I66</f>
        <v>1.2033048982864849</v>
      </c>
      <c r="J1162" s="2215">
        <f>'Part VII-Pro Forma'!J66</f>
        <v>1.1860033703326081</v>
      </c>
      <c r="K1162" s="2215">
        <f>'Part VII-Pro Forma'!K66</f>
        <v>1.167108155851817</v>
      </c>
      <c r="N1162" s="2043"/>
      <c r="O1162" s="2043"/>
      <c r="Z1162" s="1924" t="s">
        <v>6774</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6774</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6774</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6774</v>
      </c>
      <c r="AA1165" s="2051">
        <v>69</v>
      </c>
    </row>
    <row r="1166" spans="1:27" s="1852" customFormat="1" ht="13.35" customHeight="1">
      <c r="A1166" s="1852" t="s">
        <v>3343</v>
      </c>
      <c r="B1166" s="2215">
        <f>'Part VII-Pro Forma'!B70</f>
        <v>1.285294634822765</v>
      </c>
      <c r="C1166" s="2215">
        <f>'Part VII-Pro Forma'!C70</f>
        <v>1.277360867965661</v>
      </c>
      <c r="D1166" s="2215">
        <f>'Part VII-Pro Forma'!D70</f>
        <v>1.2682652968695489</v>
      </c>
      <c r="E1166" s="2215">
        <f>'Part VII-Pro Forma'!E70</f>
        <v>1.2579406675458193</v>
      </c>
      <c r="F1166" s="2215">
        <f>'Part VII-Pro Forma'!F70</f>
        <v>1.2463462888322059</v>
      </c>
      <c r="G1166" s="2215">
        <f>'Part VII-Pro Forma'!G70</f>
        <v>1.2334113418296604</v>
      </c>
      <c r="H1166" s="2215">
        <f>'Part VII-Pro Forma'!H70</f>
        <v>1.219084369673564</v>
      </c>
      <c r="I1166" s="2215">
        <f>'Part VII-Pro Forma'!I70</f>
        <v>1.2033048982864849</v>
      </c>
      <c r="J1166" s="2215">
        <f>'Part VII-Pro Forma'!J70</f>
        <v>1.1860033703326081</v>
      </c>
      <c r="K1166" s="2215">
        <f>'Part VII-Pro Forma'!K70</f>
        <v>1.167108155851817</v>
      </c>
      <c r="N1166" s="2043"/>
      <c r="O1166" s="2043"/>
      <c r="Z1166" s="1924" t="s">
        <v>6774</v>
      </c>
      <c r="AA1166" s="2051">
        <v>70</v>
      </c>
    </row>
    <row r="1167" spans="1:27" s="1852" customFormat="1" ht="13.35" customHeight="1">
      <c r="A1167" s="1852" t="s">
        <v>740</v>
      </c>
      <c r="B1167" s="2215">
        <f>'Part VII-Pro Forma'!B71</f>
        <v>1.3821021085414587</v>
      </c>
      <c r="C1167" s="2215">
        <f>'Part VII-Pro Forma'!C71</f>
        <v>1.3686827745766066</v>
      </c>
      <c r="D1167" s="2215">
        <f>'Part VII-Pro Forma'!D71</f>
        <v>1.3553960441526454</v>
      </c>
      <c r="E1167" s="2215">
        <f>'Part VII-Pro Forma'!E71</f>
        <v>1.3422354116772848</v>
      </c>
      <c r="F1167" s="2215">
        <f>'Part VII-Pro Forma'!F71</f>
        <v>1.3292051928617497</v>
      </c>
      <c r="G1167" s="2215">
        <f>'Part VII-Pro Forma'!G71</f>
        <v>1.3162994039633553</v>
      </c>
      <c r="H1167" s="2215">
        <f>'Part VII-Pro Forma'!H71</f>
        <v>1.3035197521521613</v>
      </c>
      <c r="I1167" s="2215">
        <f>'Part VII-Pro Forma'!I71</f>
        <v>1.2908653912454715</v>
      </c>
      <c r="J1167" s="2215">
        <f>'Part VII-Pro Forma'!J71</f>
        <v>1.2783333758772681</v>
      </c>
      <c r="K1167" s="2215">
        <f>'Part VII-Pro Forma'!K71</f>
        <v>1.2659211063225202</v>
      </c>
      <c r="N1167" s="2043"/>
      <c r="O1167" s="2043"/>
      <c r="Z1167" s="1924" t="s">
        <v>6774</v>
      </c>
      <c r="AA1167" s="2051">
        <v>71</v>
      </c>
    </row>
    <row r="1168" spans="1:27" s="1852" customFormat="1" ht="13.35" customHeight="1">
      <c r="A1168" s="1852" t="s">
        <v>2493</v>
      </c>
      <c r="B1168" s="2214">
        <f>'Part VII-Pro Forma'!B72</f>
        <v>1943954.6839433475</v>
      </c>
      <c r="C1168" s="2214">
        <f>'Part VII-Pro Forma'!C72</f>
        <v>1901816.4362016488</v>
      </c>
      <c r="D1168" s="2214">
        <f>'Part VII-Pro Forma'!D72</f>
        <v>1857456.1049220893</v>
      </c>
      <c r="E1168" s="2214">
        <f>'Part VII-Pro Forma'!E72</f>
        <v>1810756.5125874761</v>
      </c>
      <c r="F1168" s="2214">
        <f>'Part VII-Pro Forma'!F72</f>
        <v>1761594.3025382475</v>
      </c>
      <c r="G1168" s="2214">
        <f>'Part VII-Pro Forma'!G72</f>
        <v>1709839.6131266856</v>
      </c>
      <c r="H1168" s="2214">
        <f>'Part VII-Pro Forma'!H72</f>
        <v>1655355.7346882452</v>
      </c>
      <c r="I1168" s="2214">
        <f>'Part VII-Pro Forma'!I72</f>
        <v>1597998.7484238932</v>
      </c>
      <c r="J1168" s="2214">
        <f>'Part VII-Pro Forma'!J72</f>
        <v>1537617.146239568</v>
      </c>
      <c r="K1168" s="2214">
        <f>'Part VII-Pro Forma'!K72</f>
        <v>1474051.4305385652</v>
      </c>
      <c r="N1168" s="2043"/>
      <c r="O1168" s="2043"/>
      <c r="Z1168" s="1924" t="s">
        <v>6774</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6774</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6774</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6774</v>
      </c>
      <c r="AA1171" s="2051">
        <v>75</v>
      </c>
    </row>
    <row r="1172" spans="1:27" s="1852" customFormat="1" ht="13.35" customHeight="1">
      <c r="A1172" s="1852" t="s">
        <v>3510</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6774</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843958.68301986612</v>
      </c>
      <c r="C1175" s="2213">
        <f>'Part VII-Pro Forma'!C79</f>
        <v>860837.8566802633</v>
      </c>
      <c r="D1175" s="2213">
        <f>'Part VII-Pro Forma'!D79</f>
        <v>878054.61381386861</v>
      </c>
      <c r="E1175" s="2213">
        <f>'Part VII-Pro Forma'!E79</f>
        <v>895615.70609014586</v>
      </c>
      <c r="F1175" s="2213">
        <f>'Part VII-Pro Forma'!F79</f>
        <v>913528.02021194878</v>
      </c>
      <c r="G1175" s="2213">
        <f>'Part VII-Pro Forma'!G79</f>
        <v>931798.58061618777</v>
      </c>
      <c r="H1175" s="2213">
        <f>'Part VII-Pro Forma'!H79</f>
        <v>950434.55222851166</v>
      </c>
      <c r="I1175" s="2213">
        <f>'Part VII-Pro Forma'!I79</f>
        <v>969443.24327308172</v>
      </c>
      <c r="J1175" s="2213">
        <f>'Part VII-Pro Forma'!J79</f>
        <v>988832.10813854355</v>
      </c>
      <c r="K1175" s="2213">
        <f>'Part VII-Pro Forma'!K79</f>
        <v>1008608.7503013143</v>
      </c>
      <c r="N1175" s="2043"/>
      <c r="O1175" s="2043"/>
      <c r="Z1175" s="1924" t="s">
        <v>6775</v>
      </c>
      <c r="AA1175" s="2051">
        <v>79</v>
      </c>
    </row>
    <row r="1176" spans="1:27" s="1852" customFormat="1" ht="13.35" customHeight="1">
      <c r="A1176" s="1852" t="s">
        <v>977</v>
      </c>
      <c r="B1176" s="2213">
        <f>'Part VII-Pro Forma'!B80</f>
        <v>16879.173660397322</v>
      </c>
      <c r="C1176" s="2213">
        <f>'Part VII-Pro Forma'!C80</f>
        <v>17216.757133605268</v>
      </c>
      <c r="D1176" s="2213">
        <f>'Part VII-Pro Forma'!D80</f>
        <v>17561.092276277373</v>
      </c>
      <c r="E1176" s="2213">
        <f>'Part VII-Pro Forma'!E80</f>
        <v>17912.31412180292</v>
      </c>
      <c r="F1176" s="2213">
        <f>'Part VII-Pro Forma'!F80</f>
        <v>18270.560404238979</v>
      </c>
      <c r="G1176" s="2213">
        <f>'Part VII-Pro Forma'!G80</f>
        <v>18635.971612323756</v>
      </c>
      <c r="H1176" s="2213">
        <f>'Part VII-Pro Forma'!H80</f>
        <v>19008.691044570234</v>
      </c>
      <c r="I1176" s="2213">
        <f>'Part VII-Pro Forma'!I80</f>
        <v>19388.864865461634</v>
      </c>
      <c r="J1176" s="2213">
        <f>'Part VII-Pro Forma'!J80</f>
        <v>19776.642162770873</v>
      </c>
      <c r="K1176" s="2213">
        <f>'Part VII-Pro Forma'!K80</f>
        <v>20172.175006026286</v>
      </c>
      <c r="N1176" s="2043"/>
      <c r="O1176" s="2043"/>
      <c r="Z1176" s="1924" t="s">
        <v>6775</v>
      </c>
      <c r="AA1176" s="2051">
        <v>80</v>
      </c>
    </row>
    <row r="1177" spans="1:27" s="1852" customFormat="1" ht="13.35" customHeight="1">
      <c r="A1177" s="1852" t="s">
        <v>2295</v>
      </c>
      <c r="B1177" s="2213">
        <f>'Part VII-Pro Forma'!B81</f>
        <v>-60258.649967618447</v>
      </c>
      <c r="C1177" s="2213">
        <f>'Part VII-Pro Forma'!C81</f>
        <v>-61463.822966970809</v>
      </c>
      <c r="D1177" s="2213">
        <f>'Part VII-Pro Forma'!D81</f>
        <v>-62693.099426310226</v>
      </c>
      <c r="E1177" s="2213">
        <f>'Part VII-Pro Forma'!E81</f>
        <v>-63946.96141483642</v>
      </c>
      <c r="F1177" s="2213">
        <f>'Part VII-Pro Forma'!F81</f>
        <v>-65225.900643133151</v>
      </c>
      <c r="G1177" s="2213">
        <f>'Part VII-Pro Forma'!G81</f>
        <v>-66530.418655995818</v>
      </c>
      <c r="H1177" s="2213">
        <f>'Part VII-Pro Forma'!H81</f>
        <v>-67861.027029115736</v>
      </c>
      <c r="I1177" s="2213">
        <f>'Part VII-Pro Forma'!I81</f>
        <v>-69218.24756969804</v>
      </c>
      <c r="J1177" s="2213">
        <f>'Part VII-Pro Forma'!J81</f>
        <v>-70602.612521092015</v>
      </c>
      <c r="K1177" s="2213">
        <f>'Part VII-Pro Forma'!K81</f>
        <v>-72014.664771513853</v>
      </c>
      <c r="N1177" s="2043"/>
      <c r="O1177" s="2043"/>
      <c r="Z1177" s="1924" t="s">
        <v>6775</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6775</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6775</v>
      </c>
      <c r="AA1179" s="2051">
        <v>83</v>
      </c>
    </row>
    <row r="1180" spans="1:27" s="1852" customFormat="1" ht="13.35" customHeight="1">
      <c r="A1180" s="1852" t="s">
        <v>4014</v>
      </c>
      <c r="B1180" s="2213">
        <f>'Part VII-Pro Forma'!B84</f>
        <v>800579.20671264501</v>
      </c>
      <c r="C1180" s="2213">
        <f>'Part VII-Pro Forma'!C84</f>
        <v>816590.79084689775</v>
      </c>
      <c r="D1180" s="2213">
        <f>'Part VII-Pro Forma'!D84</f>
        <v>832922.6066638357</v>
      </c>
      <c r="E1180" s="2213">
        <f>'Part VII-Pro Forma'!E84</f>
        <v>849581.05879711232</v>
      </c>
      <c r="F1180" s="2213">
        <f>'Part VII-Pro Forma'!F84</f>
        <v>866572.67997305468</v>
      </c>
      <c r="G1180" s="2213">
        <f>'Part VII-Pro Forma'!G84</f>
        <v>883904.13357251568</v>
      </c>
      <c r="H1180" s="2213">
        <f>'Part VII-Pro Forma'!H84</f>
        <v>901582.21624396613</v>
      </c>
      <c r="I1180" s="2213">
        <f>'Part VII-Pro Forma'!I84</f>
        <v>919613.8605688453</v>
      </c>
      <c r="J1180" s="2213">
        <f>'Part VII-Pro Forma'!J84</f>
        <v>938006.13778022234</v>
      </c>
      <c r="K1180" s="2213">
        <f>'Part VII-Pro Forma'!K84</f>
        <v>956766.26053582667</v>
      </c>
      <c r="N1180" s="2043"/>
      <c r="O1180" s="2043"/>
      <c r="Z1180" s="1924" t="s">
        <v>6775</v>
      </c>
      <c r="AA1180" s="2051">
        <v>84</v>
      </c>
    </row>
    <row r="1181" spans="1:27" s="1852" customFormat="1" ht="13.35" customHeight="1">
      <c r="A1181" s="1852" t="s">
        <v>585</v>
      </c>
      <c r="B1181" s="2213">
        <f>'Part VII-Pro Forma'!B85</f>
        <v>-552579.73224710696</v>
      </c>
      <c r="C1181" s="2213">
        <f>'Part VII-Pro Forma'!C85</f>
        <v>-569157.1242145201</v>
      </c>
      <c r="D1181" s="2213">
        <f>'Part VII-Pro Forma'!D85</f>
        <v>-586231.83794095577</v>
      </c>
      <c r="E1181" s="2213">
        <f>'Part VII-Pro Forma'!E85</f>
        <v>-603818.79307918448</v>
      </c>
      <c r="F1181" s="2213">
        <f>'Part VII-Pro Forma'!F85</f>
        <v>-621933.35687155998</v>
      </c>
      <c r="G1181" s="2213">
        <f>'Part VII-Pro Forma'!G85</f>
        <v>-640591.35757770669</v>
      </c>
      <c r="H1181" s="2213">
        <f>'Part VII-Pro Forma'!H85</f>
        <v>-659809.09830503806</v>
      </c>
      <c r="I1181" s="2213">
        <f>'Part VII-Pro Forma'!I85</f>
        <v>-679603.37125418906</v>
      </c>
      <c r="J1181" s="2213">
        <f>'Part VII-Pro Forma'!J85</f>
        <v>-699991.47239181481</v>
      </c>
      <c r="K1181" s="2213">
        <f>'Part VII-Pro Forma'!K85</f>
        <v>-720991.21656356915</v>
      </c>
      <c r="N1181" s="2043"/>
      <c r="O1181" s="2043"/>
      <c r="Z1181" s="1924" t="s">
        <v>6775</v>
      </c>
      <c r="AA1181" s="2051">
        <v>85</v>
      </c>
    </row>
    <row r="1182" spans="1:27" s="1852" customFormat="1" ht="13.35" customHeight="1">
      <c r="A1182" s="1852" t="s">
        <v>1075</v>
      </c>
      <c r="B1182" s="2213">
        <f>'Part VII-Pro Forma'!B86</f>
        <v>-53519</v>
      </c>
      <c r="C1182" s="2213">
        <f>'Part VII-Pro Forma'!C86</f>
        <v>-55124</v>
      </c>
      <c r="D1182" s="2213">
        <f>'Part VII-Pro Forma'!D86</f>
        <v>-56778</v>
      </c>
      <c r="E1182" s="2213">
        <f>'Part VII-Pro Forma'!E86</f>
        <v>-58481</v>
      </c>
      <c r="F1182" s="2213">
        <f>'Part VII-Pro Forma'!F86</f>
        <v>-60236</v>
      </c>
      <c r="G1182" s="2213">
        <f>'Part VII-Pro Forma'!G86</f>
        <v>-62043</v>
      </c>
      <c r="H1182" s="2213">
        <f>'Part VII-Pro Forma'!H86</f>
        <v>-63904</v>
      </c>
      <c r="I1182" s="2213">
        <f>'Part VII-Pro Forma'!I86</f>
        <v>-65821</v>
      </c>
      <c r="J1182" s="2213">
        <f>'Part VII-Pro Forma'!J86</f>
        <v>-67796</v>
      </c>
      <c r="K1182" s="2213">
        <f>'Part VII-Pro Forma'!K86</f>
        <v>-69830</v>
      </c>
      <c r="N1182" s="2043"/>
      <c r="O1182" s="2043"/>
      <c r="Z1182" s="1924" t="s">
        <v>6775</v>
      </c>
      <c r="AA1182" s="2051">
        <v>86</v>
      </c>
    </row>
    <row r="1183" spans="1:27" s="1852" customFormat="1" ht="13.35" customHeight="1">
      <c r="A1183" s="1852" t="s">
        <v>1156</v>
      </c>
      <c r="B1183" s="2213">
        <f>'Part VII-Pro Forma'!B87</f>
        <v>-32510.00222404944</v>
      </c>
      <c r="C1183" s="2213">
        <f>'Part VII-Pro Forma'!C87</f>
        <v>-33485.302290770916</v>
      </c>
      <c r="D1183" s="2213">
        <f>'Part VII-Pro Forma'!D87</f>
        <v>-34489.861359494047</v>
      </c>
      <c r="E1183" s="2213">
        <f>'Part VII-Pro Forma'!E87</f>
        <v>-35524.557200278869</v>
      </c>
      <c r="F1183" s="2213">
        <f>'Part VII-Pro Forma'!F87</f>
        <v>-36590.293916287235</v>
      </c>
      <c r="G1183" s="2213">
        <f>'Part VII-Pro Forma'!G87</f>
        <v>-37688.002733775851</v>
      </c>
      <c r="H1183" s="2213">
        <f>'Part VII-Pro Forma'!H87</f>
        <v>-38818.642815789128</v>
      </c>
      <c r="I1183" s="2213">
        <f>'Part VII-Pro Forma'!I87</f>
        <v>-39983.202100262803</v>
      </c>
      <c r="J1183" s="2213">
        <f>'Part VII-Pro Forma'!J87</f>
        <v>-41182.698163270681</v>
      </c>
      <c r="K1183" s="2213">
        <f>'Part VII-Pro Forma'!K87</f>
        <v>-42418.179108168799</v>
      </c>
      <c r="N1183" s="2043"/>
      <c r="O1183" s="2043"/>
      <c r="Q1183" s="2051">
        <v>10</v>
      </c>
      <c r="R1183" s="2140">
        <f>-SUM(B1189:K1189)</f>
        <v>0</v>
      </c>
      <c r="S1183" s="2140">
        <f>SUM(B1190:K1190)+R1183</f>
        <v>0</v>
      </c>
      <c r="Z1183" s="1924" t="s">
        <v>6775</v>
      </c>
      <c r="AA1183" s="2051">
        <v>87</v>
      </c>
    </row>
    <row r="1184" spans="1:27" s="1852" customFormat="1" ht="13.35" customHeight="1">
      <c r="A1184" s="1852" t="s">
        <v>4013</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6775</v>
      </c>
      <c r="AA1184" s="2051">
        <v>88</v>
      </c>
    </row>
    <row r="1185" spans="1:27" s="1852" customFormat="1" ht="13.35" customHeight="1">
      <c r="A1185" s="1852" t="s">
        <v>1157</v>
      </c>
      <c r="B1185" s="2213">
        <f>'Part VII-Pro Forma'!B89</f>
        <v>161970.47224148861</v>
      </c>
      <c r="C1185" s="2213">
        <f>'Part VII-Pro Forma'!C89</f>
        <v>158824.36434160674</v>
      </c>
      <c r="D1185" s="2213">
        <f>'Part VII-Pro Forma'!D89</f>
        <v>155422.90736338589</v>
      </c>
      <c r="E1185" s="2213">
        <f>'Part VII-Pro Forma'!E89</f>
        <v>151756.70851764898</v>
      </c>
      <c r="F1185" s="2213">
        <f>'Part VII-Pro Forma'!F89</f>
        <v>147813.02918520744</v>
      </c>
      <c r="G1185" s="2213">
        <f>'Part VII-Pro Forma'!G89</f>
        <v>143581.77326103314</v>
      </c>
      <c r="H1185" s="2213">
        <f>'Part VII-Pro Forma'!H89</f>
        <v>139050.47512313895</v>
      </c>
      <c r="I1185" s="2213">
        <f>'Part VII-Pro Forma'!I89</f>
        <v>134206.28721439344</v>
      </c>
      <c r="J1185" s="2213">
        <f>'Part VII-Pro Forma'!J89</f>
        <v>129035.96722513685</v>
      </c>
      <c r="K1185" s="2213">
        <f>'Part VII-Pro Forma'!K89</f>
        <v>123526.86486408873</v>
      </c>
      <c r="N1185" s="2043"/>
      <c r="O1185" s="2043"/>
      <c r="Z1185" s="1924" t="s">
        <v>6775</v>
      </c>
      <c r="AA1185" s="2051">
        <v>89</v>
      </c>
    </row>
    <row r="1186" spans="1:27" s="1852" customFormat="1" ht="13.35" customHeight="1">
      <c r="A1186" s="1852" t="str">
        <f>$A1154</f>
        <v>Mortgage A</v>
      </c>
      <c r="B1186" s="2214">
        <f>'Part VII-Pro Forma'!B90</f>
        <v>-141266.50429738068</v>
      </c>
      <c r="C1186" s="2214">
        <f>'Part VII-Pro Forma'!C90</f>
        <v>-141266.50429738068</v>
      </c>
      <c r="D1186" s="2214">
        <f>'Part VII-Pro Forma'!D90</f>
        <v>-141266.50429738068</v>
      </c>
      <c r="E1186" s="2214">
        <f>'Part VII-Pro Forma'!E90</f>
        <v>-141266.50429738068</v>
      </c>
      <c r="F1186" s="2214">
        <f>'Part VII-Pro Forma'!F90</f>
        <v>-141266.50429738068</v>
      </c>
      <c r="G1186" s="2214">
        <f>'Part VII-Pro Forma'!G90</f>
        <v>-141266.50429738068</v>
      </c>
      <c r="H1186" s="2214">
        <f>'Part VII-Pro Forma'!H90</f>
        <v>-141266.50429738068</v>
      </c>
      <c r="I1186" s="2214">
        <f>'Part VII-Pro Forma'!I90</f>
        <v>-141266.50429738068</v>
      </c>
      <c r="J1186" s="2214">
        <f>'Part VII-Pro Forma'!J90</f>
        <v>-141266.50429738068</v>
      </c>
      <c r="K1186" s="2214">
        <f>'Part VII-Pro Forma'!K90</f>
        <v>-141266.50429738068</v>
      </c>
      <c r="N1186" s="2043"/>
      <c r="O1186" s="2043"/>
      <c r="Z1186" s="1924" t="s">
        <v>6775</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6775</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6775</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6775</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6775</v>
      </c>
      <c r="AA1190" s="2051">
        <v>94</v>
      </c>
    </row>
    <row r="1191" spans="1:27" s="1852" customFormat="1" ht="13.35" customHeight="1">
      <c r="A1191" s="1852" t="s">
        <v>1121</v>
      </c>
      <c r="B1191" s="2214">
        <f>'Part VII-Pro Forma'!B95</f>
        <v>-13004.000889619785</v>
      </c>
      <c r="C1191" s="2214">
        <f>'Part VII-Pro Forma'!C95</f>
        <v>-13394.120916308379</v>
      </c>
      <c r="D1191" s="2214">
        <f>'Part VII-Pro Forma'!D95</f>
        <v>-13795.94454379763</v>
      </c>
      <c r="E1191" s="2214">
        <f>'Part VII-Pro Forma'!E95</f>
        <v>-14209.82288011156</v>
      </c>
      <c r="F1191" s="2214">
        <f>'Part VII-Pro Forma'!F95</f>
        <v>-14636.117566514908</v>
      </c>
      <c r="G1191" s="2214">
        <f>'Part VII-Pro Forma'!G95</f>
        <v>-15075.201093510355</v>
      </c>
      <c r="H1191" s="2214">
        <f>'Part VII-Pro Forma'!H95</f>
        <v>-15527.457126315667</v>
      </c>
      <c r="I1191" s="2214">
        <f>'Part VII-Pro Forma'!I95</f>
        <v>-15993.280840105137</v>
      </c>
      <c r="J1191" s="2214">
        <f>'Part VII-Pro Forma'!J95</f>
        <v>-16473.07926530829</v>
      </c>
      <c r="K1191" s="2214">
        <f>'Part VII-Pro Forma'!K95</f>
        <v>-16967.271643267541</v>
      </c>
      <c r="N1191" s="2043"/>
      <c r="O1191" s="2043"/>
      <c r="Z1191" s="1924" t="s">
        <v>6775</v>
      </c>
      <c r="AA1191" s="2051">
        <v>95</v>
      </c>
    </row>
    <row r="1192" spans="1:27" s="1852" customFormat="1" ht="13.35" customHeight="1">
      <c r="A1192" s="1852" t="s">
        <v>1122</v>
      </c>
      <c r="B1192" s="2213">
        <f>'Part VII-Pro Forma'!B96</f>
        <v>7699.9670544881355</v>
      </c>
      <c r="C1192" s="2213">
        <f>'Part VII-Pro Forma'!C96</f>
        <v>4163.7391279176718</v>
      </c>
      <c r="D1192" s="2213">
        <f>'Part VII-Pro Forma'!D96</f>
        <v>360.45852220757843</v>
      </c>
      <c r="E1192" s="2213">
        <f>'Part VII-Pro Forma'!E96</f>
        <v>-3719.6186598432669</v>
      </c>
      <c r="F1192" s="2213">
        <f>'Part VII-Pro Forma'!F96</f>
        <v>-8089.5926786881482</v>
      </c>
      <c r="G1192" s="2213">
        <f>'Part VII-Pro Forma'!G96</f>
        <v>-12759.932129857896</v>
      </c>
      <c r="H1192" s="2213">
        <f>'Part VII-Pro Forma'!H96</f>
        <v>-17743.486300557401</v>
      </c>
      <c r="I1192" s="2213">
        <f>'Part VII-Pro Forma'!I96</f>
        <v>-23053.497923092385</v>
      </c>
      <c r="J1192" s="2213">
        <f>'Part VII-Pro Forma'!J96</f>
        <v>-28703.616337552128</v>
      </c>
      <c r="K1192" s="2213">
        <f>'Part VII-Pro Forma'!K96</f>
        <v>-34706.911076559496</v>
      </c>
      <c r="N1192" s="2043"/>
      <c r="O1192" s="2043"/>
      <c r="Z1192" s="1924" t="s">
        <v>6775</v>
      </c>
      <c r="AA1192" s="1929">
        <v>96</v>
      </c>
    </row>
    <row r="1193" spans="1:27" s="1852" customFormat="1" ht="13.35" customHeight="1">
      <c r="A1193" s="1852" t="str">
        <f>$A1162</f>
        <v>DCR Mortgage A</v>
      </c>
      <c r="B1193" s="2215">
        <f>'Part VII-Pro Forma'!B97</f>
        <v>1.146559639506078</v>
      </c>
      <c r="C1193" s="2215">
        <f>'Part VII-Pro Forma'!C97</f>
        <v>1.1242889114553647</v>
      </c>
      <c r="D1193" s="2215">
        <f>'Part VII-Pro Forma'!D97</f>
        <v>1.1002106135238152</v>
      </c>
      <c r="E1193" s="2215">
        <f>'Part VII-Pro Forma'!E97</f>
        <v>1.0742582558579161</v>
      </c>
      <c r="F1193" s="2215">
        <f>'Part VII-Pro Forma'!F97</f>
        <v>1.0463416640794454</v>
      </c>
      <c r="G1193" s="2215">
        <f>'Part VII-Pro Forma'!G97</f>
        <v>1.0163893696893538</v>
      </c>
      <c r="H1193" s="2215">
        <f>'Part VII-Pro Forma'!H97</f>
        <v>0.98431313080716742</v>
      </c>
      <c r="I1193" s="2215">
        <f>'Part VII-Pro Forma'!I97</f>
        <v>0.95002200190269626</v>
      </c>
      <c r="J1193" s="2215">
        <f>'Part VII-Pro Forma'!J97</f>
        <v>0.91342224306409336</v>
      </c>
      <c r="K1193" s="2215">
        <f>'Part VII-Pro Forma'!K97</f>
        <v>0.87442430517040204</v>
      </c>
      <c r="N1193" s="2043"/>
      <c r="O1193" s="2043"/>
      <c r="Z1193" s="1924" t="s">
        <v>6775</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6775</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6775</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6775</v>
      </c>
      <c r="AA1196" s="2051">
        <v>100</v>
      </c>
    </row>
    <row r="1197" spans="1:27" s="1852" customFormat="1" ht="13.35" customHeight="1">
      <c r="A1197" s="1852" t="s">
        <v>3343</v>
      </c>
      <c r="B1197" s="2215">
        <f>'Part VII-Pro Forma'!B101</f>
        <v>1.146559639506078</v>
      </c>
      <c r="C1197" s="2215">
        <f>'Part VII-Pro Forma'!C101</f>
        <v>1.1242889114553647</v>
      </c>
      <c r="D1197" s="2215">
        <f>'Part VII-Pro Forma'!D101</f>
        <v>1.1002106135238152</v>
      </c>
      <c r="E1197" s="2215">
        <f>'Part VII-Pro Forma'!E101</f>
        <v>1.0742582558579161</v>
      </c>
      <c r="F1197" s="2215">
        <f>'Part VII-Pro Forma'!F101</f>
        <v>1.0463416640794454</v>
      </c>
      <c r="G1197" s="2215">
        <f>'Part VII-Pro Forma'!G101</f>
        <v>1.0163893696893538</v>
      </c>
      <c r="H1197" s="2215">
        <f>'Part VII-Pro Forma'!H101</f>
        <v>0.98431313080716742</v>
      </c>
      <c r="I1197" s="2215">
        <f>'Part VII-Pro Forma'!I101</f>
        <v>0.95002200190269626</v>
      </c>
      <c r="J1197" s="2215">
        <f>'Part VII-Pro Forma'!J101</f>
        <v>0.91342224306409336</v>
      </c>
      <c r="K1197" s="2215">
        <f>'Part VII-Pro Forma'!K101</f>
        <v>0.87442430517040204</v>
      </c>
      <c r="N1197" s="2043"/>
      <c r="O1197" s="2043"/>
      <c r="Z1197" s="1924" t="s">
        <v>6775</v>
      </c>
      <c r="AA1197" s="2051">
        <v>101</v>
      </c>
    </row>
    <row r="1198" spans="1:27" s="1852" customFormat="1" ht="13.35" customHeight="1">
      <c r="A1198" s="1852" t="s">
        <v>740</v>
      </c>
      <c r="B1198" s="2215">
        <f>'Part VII-Pro Forma'!B102</f>
        <v>1.2536302175315834</v>
      </c>
      <c r="C1198" s="2215">
        <f>'Part VII-Pro Forma'!C102</f>
        <v>1.2414601261810208</v>
      </c>
      <c r="D1198" s="2215">
        <f>'Part VII-Pro Forma'!D102</f>
        <v>1.2294066071525453</v>
      </c>
      <c r="E1198" s="2215">
        <f>'Part VII-Pro Forma'!E102</f>
        <v>1.2174712138618748</v>
      </c>
      <c r="F1198" s="2215">
        <f>'Part VII-Pro Forma'!F102</f>
        <v>1.2056501488685216</v>
      </c>
      <c r="G1198" s="2215">
        <f>'Part VII-Pro Forma'!G102</f>
        <v>1.1939449366362818</v>
      </c>
      <c r="H1198" s="2215">
        <f>'Part VII-Pro Forma'!H102</f>
        <v>1.1823536878855063</v>
      </c>
      <c r="I1198" s="2215">
        <f>'Part VII-Pro Forma'!I102</f>
        <v>1.1708747047615067</v>
      </c>
      <c r="J1198" s="2215">
        <f>'Part VII-Pro Forma'!J102</f>
        <v>1.1595064588557042</v>
      </c>
      <c r="K1198" s="2215">
        <f>'Part VII-Pro Forma'!K102</f>
        <v>1.1482489492284558</v>
      </c>
      <c r="N1198" s="2043"/>
      <c r="O1198" s="2043"/>
      <c r="Z1198" s="1924" t="s">
        <v>6775</v>
      </c>
      <c r="AA1198" s="2051">
        <v>102</v>
      </c>
    </row>
    <row r="1199" spans="1:27" s="1852" customFormat="1" ht="13.35" customHeight="1">
      <c r="A1199" s="1852" t="s">
        <v>2493</v>
      </c>
      <c r="B1199" s="2214">
        <f>'Part VII-Pro Forma'!B103</f>
        <v>1407133.6929097078</v>
      </c>
      <c r="C1199" s="2214">
        <f>'Part VII-Pro Forma'!C103</f>
        <v>1336687.1705984056</v>
      </c>
      <c r="D1199" s="2214">
        <f>'Part VII-Pro Forma'!D103</f>
        <v>1262525.7795890255</v>
      </c>
      <c r="E1199" s="2214">
        <f>'Part VII-Pro Forma'!E103</f>
        <v>1184453.6230652139</v>
      </c>
      <c r="F1199" s="2214">
        <f>'Part VII-Pro Forma'!F103</f>
        <v>1102264.4739497721</v>
      </c>
      <c r="G1199" s="2214">
        <f>'Part VII-Pro Forma'!G103</f>
        <v>1015741.230157216</v>
      </c>
      <c r="H1199" s="2214">
        <f>'Part VII-Pro Forma'!H103</f>
        <v>924655.34112007602</v>
      </c>
      <c r="I1199" s="2214">
        <f>'Part VII-Pro Forma'!I103</f>
        <v>828766.20407410734</v>
      </c>
      <c r="J1199" s="2214">
        <f>'Part VII-Pro Forma'!J103</f>
        <v>727820.5285077038</v>
      </c>
      <c r="K1199" s="2214">
        <f>'Part VII-Pro Forma'!K103</f>
        <v>621551.66709671239</v>
      </c>
      <c r="N1199" s="2043"/>
      <c r="O1199" s="2043"/>
      <c r="Z1199" s="1924" t="s">
        <v>6775</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6775</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6775</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6775</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3334</v>
      </c>
      <c r="Z1204" s="1924"/>
      <c r="AA1204" s="1929">
        <v>108</v>
      </c>
    </row>
    <row r="1205" spans="1:27" s="1852" customFormat="1" ht="13.35" customHeight="1">
      <c r="A1205" s="1852" t="s">
        <v>2294</v>
      </c>
      <c r="B1205" s="2213">
        <f>'Part VII-Pro Forma'!B109</f>
        <v>1028780.9253073407</v>
      </c>
      <c r="C1205" s="2213">
        <f>'Part VII-Pro Forma'!C109</f>
        <v>1049356.5438134873</v>
      </c>
      <c r="D1205" s="2213">
        <f>'Part VII-Pro Forma'!D109</f>
        <v>1070343.6746897572</v>
      </c>
      <c r="E1205" s="2213">
        <f>'Part VII-Pro Forma'!E109</f>
        <v>1091750.5481835525</v>
      </c>
      <c r="F1205" s="2213">
        <f>'Part VII-Pro Forma'!F109</f>
        <v>1113585.5591472234</v>
      </c>
      <c r="G1205" s="2213"/>
      <c r="H1205" s="2213"/>
      <c r="I1205" s="2213"/>
      <c r="J1205" s="2213"/>
      <c r="K1205" s="2213"/>
      <c r="N1205" s="2043"/>
      <c r="O1205" s="2043"/>
      <c r="Z1205" s="1924" t="s">
        <v>6776</v>
      </c>
      <c r="AA1205" s="2051">
        <v>109</v>
      </c>
    </row>
    <row r="1206" spans="1:27" s="1852" customFormat="1" ht="13.35" customHeight="1">
      <c r="A1206" s="1852" t="s">
        <v>977</v>
      </c>
      <c r="B1206" s="2213">
        <f>'Part VII-Pro Forma'!B110</f>
        <v>20575.618506146813</v>
      </c>
      <c r="C1206" s="2213">
        <f>'Part VII-Pro Forma'!C110</f>
        <v>20987.130876269744</v>
      </c>
      <c r="D1206" s="2213">
        <f>'Part VII-Pro Forma'!D110</f>
        <v>21406.873493795145</v>
      </c>
      <c r="E1206" s="2213">
        <f>'Part VII-Pro Forma'!E110</f>
        <v>21835.010963671048</v>
      </c>
      <c r="F1206" s="2213">
        <f>'Part VII-Pro Forma'!F110</f>
        <v>22271.711182944469</v>
      </c>
      <c r="G1206" s="2213"/>
      <c r="H1206" s="2213"/>
      <c r="I1206" s="2213"/>
      <c r="J1206" s="2213"/>
      <c r="K1206" s="2213"/>
      <c r="N1206" s="2043"/>
      <c r="O1206" s="2043"/>
      <c r="Z1206" s="1924" t="s">
        <v>6776</v>
      </c>
      <c r="AA1206" s="2051">
        <v>110</v>
      </c>
    </row>
    <row r="1207" spans="1:27" s="1852" customFormat="1" ht="13.35" customHeight="1">
      <c r="A1207" s="1852" t="s">
        <v>2295</v>
      </c>
      <c r="B1207" s="2213">
        <f>'Part VII-Pro Forma'!B111</f>
        <v>-73454.958066944135</v>
      </c>
      <c r="C1207" s="2213">
        <f>'Part VII-Pro Forma'!C111</f>
        <v>-74924.057228282996</v>
      </c>
      <c r="D1207" s="2213">
        <f>'Part VII-Pro Forma'!D111</f>
        <v>-76422.538372848663</v>
      </c>
      <c r="E1207" s="2213">
        <f>'Part VII-Pro Forma'!E111</f>
        <v>-77950.989140305654</v>
      </c>
      <c r="F1207" s="2213">
        <f>'Part VII-Pro Forma'!F111</f>
        <v>-79510.00892311176</v>
      </c>
      <c r="G1207" s="2213"/>
      <c r="H1207" s="2213"/>
      <c r="I1207" s="2213"/>
      <c r="J1207" s="2213"/>
      <c r="K1207" s="2213"/>
      <c r="N1207" s="2043"/>
      <c r="O1207" s="2043"/>
      <c r="Z1207" s="1924" t="s">
        <v>6776</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6776</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6776</v>
      </c>
      <c r="AA1209" s="2051">
        <v>113</v>
      </c>
    </row>
    <row r="1210" spans="1:27" s="1852" customFormat="1" ht="13.35" customHeight="1">
      <c r="A1210" s="1852" t="s">
        <v>4014</v>
      </c>
      <c r="B1210" s="2213">
        <f>'Part VII-Pro Forma'!B114</f>
        <v>975901.58574654337</v>
      </c>
      <c r="C1210" s="2213">
        <f>'Part VII-Pro Forma'!C114</f>
        <v>995419.61746147391</v>
      </c>
      <c r="D1210" s="2213">
        <f>'Part VII-Pro Forma'!D114</f>
        <v>1015328.0098107036</v>
      </c>
      <c r="E1210" s="2213">
        <f>'Part VII-Pro Forma'!E114</f>
        <v>1035634.5700069179</v>
      </c>
      <c r="F1210" s="2213">
        <f>'Part VII-Pro Forma'!F114</f>
        <v>1056347.2614070561</v>
      </c>
      <c r="G1210" s="2213"/>
      <c r="H1210" s="2213"/>
      <c r="I1210" s="2213"/>
      <c r="J1210" s="2213"/>
      <c r="K1210" s="2213"/>
      <c r="N1210" s="2043"/>
      <c r="O1210" s="2043"/>
      <c r="Z1210" s="1924" t="s">
        <v>6776</v>
      </c>
      <c r="AA1210" s="2051">
        <v>114</v>
      </c>
    </row>
    <row r="1211" spans="1:27" s="1852" customFormat="1" ht="13.35" customHeight="1">
      <c r="A1211" s="1852" t="s">
        <v>585</v>
      </c>
      <c r="B1211" s="2213">
        <f>'Part VII-Pro Forma'!B115</f>
        <v>-742620.95306047623</v>
      </c>
      <c r="C1211" s="2213">
        <f>'Part VII-Pro Forma'!C115</f>
        <v>-764899.58165229065</v>
      </c>
      <c r="D1211" s="2213">
        <f>'Part VII-Pro Forma'!D115</f>
        <v>-787846.56910185912</v>
      </c>
      <c r="E1211" s="2213">
        <f>'Part VII-Pro Forma'!E115</f>
        <v>-811481.96617491497</v>
      </c>
      <c r="F1211" s="2213">
        <f>'Part VII-Pro Forma'!F115</f>
        <v>-835826.42516016227</v>
      </c>
      <c r="G1211" s="2213"/>
      <c r="H1211" s="2213"/>
      <c r="I1211" s="2213"/>
      <c r="J1211" s="2213"/>
      <c r="K1211" s="2213"/>
      <c r="N1211" s="2043"/>
      <c r="O1211" s="2043"/>
      <c r="Z1211" s="1924" t="s">
        <v>6776</v>
      </c>
      <c r="AA1211" s="2051">
        <v>115</v>
      </c>
    </row>
    <row r="1212" spans="1:27" s="1852" customFormat="1" ht="13.35" customHeight="1">
      <c r="A1212" s="1852" t="s">
        <v>1075</v>
      </c>
      <c r="B1212" s="2213">
        <f>'Part VII-Pro Forma'!B116</f>
        <v>-71925</v>
      </c>
      <c r="C1212" s="2213">
        <f>'Part VII-Pro Forma'!C116</f>
        <v>-74082</v>
      </c>
      <c r="D1212" s="2213">
        <f>'Part VII-Pro Forma'!D116</f>
        <v>-76305</v>
      </c>
      <c r="E1212" s="2213">
        <f>'Part VII-Pro Forma'!E116</f>
        <v>-78594</v>
      </c>
      <c r="F1212" s="2213">
        <f>'Part VII-Pro Forma'!F116</f>
        <v>-80952</v>
      </c>
      <c r="G1212" s="2213"/>
      <c r="H1212" s="2213"/>
      <c r="I1212" s="2213"/>
      <c r="J1212" s="2213"/>
      <c r="K1212" s="2213"/>
      <c r="N1212" s="2043"/>
      <c r="O1212" s="2043"/>
      <c r="Z1212" s="1924" t="s">
        <v>6776</v>
      </c>
      <c r="AA1212" s="2051">
        <v>116</v>
      </c>
    </row>
    <row r="1213" spans="1:27" s="1852" customFormat="1" ht="13.35" customHeight="1">
      <c r="A1213" s="1852" t="s">
        <v>1156</v>
      </c>
      <c r="B1213" s="2213">
        <f>'Part VII-Pro Forma'!B117</f>
        <v>-43690.724481413861</v>
      </c>
      <c r="C1213" s="2213">
        <f>'Part VII-Pro Forma'!C117</f>
        <v>-45001.446215856289</v>
      </c>
      <c r="D1213" s="2213">
        <f>'Part VII-Pro Forma'!D117</f>
        <v>-46351.489602331967</v>
      </c>
      <c r="E1213" s="2213">
        <f>'Part VII-Pro Forma'!E117</f>
        <v>-47742.034290401927</v>
      </c>
      <c r="F1213" s="2213">
        <f>'Part VII-Pro Forma'!F117</f>
        <v>-49174.295319113975</v>
      </c>
      <c r="G1213" s="2213"/>
      <c r="H1213" s="2213"/>
      <c r="I1213" s="2213"/>
      <c r="J1213" s="2213"/>
      <c r="K1213" s="2213"/>
      <c r="N1213" s="2043"/>
      <c r="O1213" s="2043"/>
      <c r="Q1213" s="2051">
        <v>10</v>
      </c>
      <c r="R1213" s="2140">
        <f>-SUM(B1219:K1219)</f>
        <v>0</v>
      </c>
      <c r="S1213" s="2140">
        <f>SUM(B1220:K1220)+R1213</f>
        <v>0</v>
      </c>
      <c r="Z1213" s="1924" t="s">
        <v>6776</v>
      </c>
      <c r="AA1213" s="1929">
        <v>117</v>
      </c>
    </row>
    <row r="1214" spans="1:27" s="1852" customFormat="1" ht="13.35" customHeight="1">
      <c r="A1214" s="1852" t="s">
        <v>4013</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6776</v>
      </c>
      <c r="AA1214" s="2051">
        <v>118</v>
      </c>
    </row>
    <row r="1215" spans="1:27" s="1852" customFormat="1" ht="13.35" customHeight="1">
      <c r="A1215" s="1852" t="s">
        <v>1157</v>
      </c>
      <c r="B1215" s="2213">
        <f>'Part VII-Pro Forma'!B119</f>
        <v>117664.90820465327</v>
      </c>
      <c r="C1215" s="2213">
        <f>'Part VII-Pro Forma'!C119</f>
        <v>111436.58959332696</v>
      </c>
      <c r="D1215" s="2213">
        <f>'Part VII-Pro Forma'!D119</f>
        <v>104824.95110651248</v>
      </c>
      <c r="E1215" s="2213">
        <f>'Part VII-Pro Forma'!E119</f>
        <v>97816.569541601028</v>
      </c>
      <c r="F1215" s="2213">
        <f>'Part VII-Pro Forma'!F119</f>
        <v>90394.54092777989</v>
      </c>
      <c r="G1215" s="2213"/>
      <c r="H1215" s="2213"/>
      <c r="I1215" s="2213"/>
      <c r="J1215" s="2213"/>
      <c r="K1215" s="2213"/>
      <c r="N1215" s="2043"/>
      <c r="O1215" s="2043"/>
      <c r="Z1215" s="1924" t="s">
        <v>6776</v>
      </c>
      <c r="AA1215" s="2051">
        <v>119</v>
      </c>
    </row>
    <row r="1216" spans="1:27" s="1852" customFormat="1" ht="13.35" customHeight="1">
      <c r="A1216" s="1852" t="str">
        <f>$A1186</f>
        <v>Mortgage A</v>
      </c>
      <c r="B1216" s="2214">
        <f>'Part VII-Pro Forma'!B120</f>
        <v>-141266.50429738068</v>
      </c>
      <c r="C1216" s="2214">
        <f>'Part VII-Pro Forma'!C120</f>
        <v>-141266.50429738068</v>
      </c>
      <c r="D1216" s="2214">
        <f>'Part VII-Pro Forma'!D120</f>
        <v>-141266.50429738068</v>
      </c>
      <c r="E1216" s="2214">
        <f>'Part VII-Pro Forma'!E120</f>
        <v>-141266.50429738068</v>
      </c>
      <c r="F1216" s="2214">
        <f>'Part VII-Pro Forma'!F120</f>
        <v>-141266.50429738068</v>
      </c>
      <c r="G1216" s="2213"/>
      <c r="H1216" s="2213"/>
      <c r="I1216" s="2213"/>
      <c r="J1216" s="2213"/>
      <c r="K1216" s="2213"/>
      <c r="N1216" s="2043"/>
      <c r="O1216" s="2043"/>
      <c r="Z1216" s="1924" t="s">
        <v>6776</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6776</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6776</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6776</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6776</v>
      </c>
      <c r="AA1220" s="2051">
        <v>124</v>
      </c>
    </row>
    <row r="1221" spans="1:27" s="1852" customFormat="1" ht="13.35" customHeight="1">
      <c r="A1221" s="1852" t="s">
        <v>1121</v>
      </c>
      <c r="B1221" s="2214">
        <f>'Part VII-Pro Forma'!B125</f>
        <v>-17476.289792565567</v>
      </c>
      <c r="C1221" s="2214">
        <f>'Part VII-Pro Forma'!C125</f>
        <v>-18000.578486342536</v>
      </c>
      <c r="D1221" s="2214">
        <f>'Part VII-Pro Forma'!D125</f>
        <v>-18540.595840932812</v>
      </c>
      <c r="E1221" s="2214">
        <f>'Part VII-Pro Forma'!E125</f>
        <v>-19096.813716160796</v>
      </c>
      <c r="F1221" s="2214">
        <f>'Part VII-Pro Forma'!F125</f>
        <v>-19669.718127645621</v>
      </c>
      <c r="G1221" s="2213"/>
      <c r="H1221" s="2213"/>
      <c r="I1221" s="2213"/>
      <c r="J1221" s="2213"/>
      <c r="K1221" s="2213"/>
      <c r="N1221" s="2043"/>
      <c r="O1221" s="2043"/>
      <c r="Z1221" s="1924" t="s">
        <v>6776</v>
      </c>
      <c r="AA1221" s="2051">
        <v>125</v>
      </c>
    </row>
    <row r="1222" spans="1:27" s="1852" customFormat="1" ht="13.35" customHeight="1">
      <c r="A1222" s="1852" t="s">
        <v>1122</v>
      </c>
      <c r="B1222" s="2213">
        <f>'Part VII-Pro Forma'!B126</f>
        <v>-41077.885885292984</v>
      </c>
      <c r="C1222" s="2213">
        <f>'Part VII-Pro Forma'!C126</f>
        <v>-47830.493190396257</v>
      </c>
      <c r="D1222" s="2213">
        <f>'Part VII-Pro Forma'!D126</f>
        <v>-54982.149031801018</v>
      </c>
      <c r="E1222" s="2213">
        <f>'Part VII-Pro Forma'!E126</f>
        <v>-62546.748471940453</v>
      </c>
      <c r="F1222" s="2213">
        <f>'Part VII-Pro Forma'!F126</f>
        <v>-70541.68149724642</v>
      </c>
      <c r="G1222" s="2213"/>
      <c r="H1222" s="2213"/>
      <c r="I1222" s="2213"/>
      <c r="J1222" s="2213"/>
      <c r="K1222" s="2213"/>
      <c r="N1222" s="2043"/>
      <c r="O1222" s="2043"/>
      <c r="Z1222" s="1924" t="s">
        <v>6776</v>
      </c>
      <c r="AA1222" s="2051">
        <v>126</v>
      </c>
    </row>
    <row r="1223" spans="1:27" s="1852" customFormat="1" ht="13.35" customHeight="1">
      <c r="A1223" s="1852" t="str">
        <f>$A1193</f>
        <v>DCR Mortgage A</v>
      </c>
      <c r="B1223" s="2215">
        <f>'Part VII-Pro Forma'!B127</f>
        <v>0.83292857560173217</v>
      </c>
      <c r="C1223" s="2215">
        <f>'Part VII-Pro Forma'!C127</f>
        <v>0.78883943612522156</v>
      </c>
      <c r="D1223" s="2215">
        <f>'Part VII-Pro Forma'!D127</f>
        <v>0.74203684467087161</v>
      </c>
      <c r="E1223" s="2215">
        <f>'Part VII-Pro Forma'!E127</f>
        <v>0.69242578081840955</v>
      </c>
      <c r="F1223" s="2215">
        <f>'Part VII-Pro Forma'!F127</f>
        <v>0.63988658441982804</v>
      </c>
      <c r="G1223" s="2213"/>
      <c r="H1223" s="2213"/>
      <c r="I1223" s="2213"/>
      <c r="J1223" s="2213"/>
      <c r="K1223" s="2213"/>
      <c r="N1223" s="2043"/>
      <c r="O1223" s="2043"/>
      <c r="Z1223" s="1924" t="s">
        <v>6776</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6776</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6776</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6776</v>
      </c>
      <c r="AA1226" s="2051">
        <v>130</v>
      </c>
    </row>
    <row r="1227" spans="1:27" s="1852" customFormat="1" ht="13.35" customHeight="1">
      <c r="A1227" s="1852" t="s">
        <v>3343</v>
      </c>
      <c r="B1227" s="2215">
        <f>'Part VII-Pro Forma'!B131</f>
        <v>0.83292857560173217</v>
      </c>
      <c r="C1227" s="2215">
        <f>'Part VII-Pro Forma'!C131</f>
        <v>0.78883943612522156</v>
      </c>
      <c r="D1227" s="2215">
        <f>'Part VII-Pro Forma'!D131</f>
        <v>0.74203684467087161</v>
      </c>
      <c r="E1227" s="2215">
        <f>'Part VII-Pro Forma'!E131</f>
        <v>0.69242578081840955</v>
      </c>
      <c r="F1227" s="2215">
        <f>'Part VII-Pro Forma'!F131</f>
        <v>0.63988658441982804</v>
      </c>
      <c r="G1227" s="2213"/>
      <c r="H1227" s="2213"/>
      <c r="I1227" s="2213"/>
      <c r="J1227" s="2213"/>
      <c r="K1227" s="2213"/>
      <c r="N1227" s="2043"/>
      <c r="O1227" s="2043"/>
      <c r="Z1227" s="1924" t="s">
        <v>6776</v>
      </c>
      <c r="AA1227" s="1929">
        <v>131</v>
      </c>
    </row>
    <row r="1228" spans="1:27" s="1852" customFormat="1" ht="13.35" customHeight="1">
      <c r="A1228" s="1852" t="s">
        <v>740</v>
      </c>
      <c r="B1228" s="2215">
        <f>'Part VII-Pro Forma'!B132</f>
        <v>1.1371007686849997</v>
      </c>
      <c r="C1228" s="2215">
        <f>'Part VII-Pro Forma'!C132</f>
        <v>1.1260619107835956</v>
      </c>
      <c r="D1228" s="2215">
        <f>'Part VII-Pro Forma'!D132</f>
        <v>1.115128609513621</v>
      </c>
      <c r="E1228" s="2215">
        <f>'Part VII-Pro Forma'!E132</f>
        <v>1.1043022947875465</v>
      </c>
      <c r="F1228" s="2215">
        <f>'Part VII-Pro Forma'!F132</f>
        <v>1.0935807095019401</v>
      </c>
      <c r="G1228" s="2213"/>
      <c r="H1228" s="2213"/>
      <c r="I1228" s="2213"/>
      <c r="J1228" s="2213"/>
      <c r="K1228" s="2213"/>
      <c r="N1228" s="2043"/>
      <c r="O1228" s="2043"/>
      <c r="Z1228" s="1924" t="s">
        <v>6776</v>
      </c>
      <c r="AA1228" s="2051">
        <v>132</v>
      </c>
    </row>
    <row r="1229" spans="1:27" s="1852" customFormat="1" ht="13.35" customHeight="1">
      <c r="A1229" s="1852" t="s">
        <v>2493</v>
      </c>
      <c r="B1229" s="2214">
        <f>'Part VII-Pro Forma'!B133</f>
        <v>509678.91135731735</v>
      </c>
      <c r="C1229" s="2214">
        <f>'Part VII-Pro Forma'!C133</f>
        <v>391906.75015646452</v>
      </c>
      <c r="D1229" s="2214">
        <f>'Part VII-Pro Forma'!D133</f>
        <v>267924.0891211885</v>
      </c>
      <c r="E1229" s="2214">
        <f>'Part VII-Pro Forma'!E133</f>
        <v>137403.42888491487</v>
      </c>
      <c r="F1229" s="2214">
        <f>'Part VII-Pro Forma'!F133</f>
        <v>8.2916812971234322E-8</v>
      </c>
      <c r="G1229" s="2213"/>
      <c r="H1229" s="2213"/>
      <c r="I1229" s="2213"/>
      <c r="J1229" s="2213"/>
      <c r="K1229" s="2213"/>
      <c r="N1229" s="2043"/>
      <c r="O1229" s="2043"/>
      <c r="Z1229" s="1924" t="s">
        <v>6776</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6776</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6776</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6776</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 debt service payments do not deviate from the amounts shown in the Sources of Funds tab. The development meets Threshold Feasibility requirements.</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2021-041 Hunters Haven,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7127</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3371</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Construction cost estimate is based off historical cost to deliver similar projects that are currenlty under construction with previous company and contractor, and adds some costs due to inflation and current market material cost concerns. 
Local government fees were confirmed by the local government and our in house construction manager</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3285</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3286</v>
      </c>
      <c r="L1278" s="435"/>
      <c r="M1278" s="435"/>
      <c r="N1278" s="435"/>
      <c r="P1278" s="2029" t="s">
        <v>2573</v>
      </c>
      <c r="Q1278" s="2230">
        <f>'Part VIII-Threshold Criteria'!Q38</f>
        <v>0</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4134</v>
      </c>
      <c r="Q1279" s="1875"/>
    </row>
    <row r="1280" spans="1:32" s="1852" customFormat="1" ht="10.5" customHeight="1">
      <c r="D1280" s="2231" t="s">
        <v>2561</v>
      </c>
      <c r="F1280" s="2112" t="s">
        <v>3188</v>
      </c>
      <c r="G1280" s="2112" t="s">
        <v>4078</v>
      </c>
      <c r="H1280" s="2112"/>
      <c r="I1280" s="2112"/>
      <c r="K1280" s="2112" t="s">
        <v>3188</v>
      </c>
      <c r="L1280" s="2112" t="s">
        <v>4077</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177609.60000000001</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195370.56000000003</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220083.55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242091.905</v>
      </c>
      <c r="M1282" s="2121" t="str">
        <f>CONCATENATE("x ", K1282," units = ")</f>
        <v xml:space="preserve">x  units = </v>
      </c>
      <c r="N1282" s="2052" t="str">
        <f>IF(K1282="","",K1282*L1282)</f>
        <v/>
      </c>
      <c r="O1282" s="2228"/>
      <c r="P1282" s="2216" t="str">
        <f>IF('Part I-Project Information'!$F$39="","",VLOOKUP('Part I-Project Information'!$J$40,'DCA Underwriting Assumptions'!$G$174:$N$333,8,FALSE))</f>
        <v>Savannah</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263232.69999999995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289555.96999999997</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300066.80000000005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330073.4800000001</v>
      </c>
      <c r="M1284" s="2121" t="str">
        <f>CONCATENATE("x ", K1284," units = ")</f>
        <v xml:space="preserve">x  units = </v>
      </c>
      <c r="N1284" s="2052" t="str">
        <f>IF(K1284="","",K1284*L1284)</f>
        <v/>
      </c>
      <c r="O1284" s="2228"/>
      <c r="P1284" s="435" t="s">
        <v>4135</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353446.5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388791.15</v>
      </c>
      <c r="M1285" s="2121" t="str">
        <f>CONCATENATE("x ", K1285," units = ")</f>
        <v xml:space="preserve">x  units = </v>
      </c>
      <c r="N1285" s="2052" t="str">
        <f>IF(K1285="","",K1285*L1285)</f>
        <v/>
      </c>
      <c r="O1285" s="2228"/>
      <c r="P1285" s="2235">
        <f>'Part IV-A-Uses of Funds'!$G$146</f>
        <v>15931770.43</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4121</v>
      </c>
      <c r="Q1286" s="435"/>
      <c r="R1286" s="2242" t="s">
        <v>6611</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153390</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168729</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15208703</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191784.34999999998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210962.785</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232242.49999999997</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255466.75</v>
      </c>
      <c r="M1290" s="2121" t="str">
        <f>CONCATENATE("x ", K1290," units = ")</f>
        <v xml:space="preserve">x  units = </v>
      </c>
      <c r="N1290" s="2052" t="str">
        <f>IF(K1290="","",K1290*L1290)</f>
        <v/>
      </c>
      <c r="O1290" s="2108"/>
      <c r="P1290" s="2243"/>
      <c r="Q1290" s="2243"/>
      <c r="R1290" s="2488"/>
      <c r="S1290" s="2244" t="s">
        <v>7128</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270867.30000000005</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297954.03000000009</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320824.90000000002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352907.39000000007</v>
      </c>
      <c r="M1292" s="2121" t="str">
        <f>CONCATENATE("x ", K1292," units = ")</f>
        <v xml:space="preserve">x  units = </v>
      </c>
      <c r="N1292" s="2052" t="str">
        <f>IF(K1292="","",K1292*L1292)</f>
        <v/>
      </c>
      <c r="O1292" s="2108"/>
      <c r="P1292" s="1875" t="s">
        <v>3281</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137608.79999999999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151369.68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f>IF('Part VI-Revenues &amp; Expenses'!$L$151 =0,"",'Part VI-Revenues &amp; Expenses'!$L$151)</f>
        <v>16</v>
      </c>
      <c r="G1296" s="2234">
        <f>'Part VIII-Threshold Criteria'!G56</f>
        <v>179842.75</v>
      </c>
      <c r="H1296" s="2121" t="str">
        <f>CONCATENATE("x ", F1296," units = ")</f>
        <v xml:space="preserve">x 16 units = </v>
      </c>
      <c r="I1296" s="2052">
        <f>IF(F1296="","",F1296*G1296)</f>
        <v>2877484</v>
      </c>
      <c r="J1296" s="1818"/>
      <c r="K1296" s="2233" t="str">
        <f>IF('Part VI-Revenues &amp; Expenses'!$L$152 =0,"",'Part VI-Revenues &amp; Expenses'!$L$152)</f>
        <v/>
      </c>
      <c r="L1296" s="2234">
        <f>G1296*(1+'DCA Underwriting Assumptions'!$Q$12)</f>
        <v>197827.02500000002</v>
      </c>
      <c r="M1296" s="2121" t="str">
        <f>CONCATENATE("x ", K1296," units = ")</f>
        <v xml:space="preserve">x  units = </v>
      </c>
      <c r="N1296" s="2052" t="str">
        <f>IF(K1296="","",K1296*L1296)</f>
        <v/>
      </c>
      <c r="P1296" s="1875" t="s">
        <v>3282</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f>IF('Part VI-Revenues &amp; Expenses'!$M$151 =0,"",'Part VI-Revenues &amp; Expenses'!$M$151)</f>
        <v>40</v>
      </c>
      <c r="G1297" s="2234">
        <f>'Part VIII-Threshold Criteria'!G57</f>
        <v>227650.55</v>
      </c>
      <c r="H1297" s="2121" t="str">
        <f>CONCATENATE("x ", F1297," units = ")</f>
        <v xml:space="preserve">x 40 units = </v>
      </c>
      <c r="I1297" s="2052">
        <f>IF(F1297="","",F1297*G1297)</f>
        <v>9106022</v>
      </c>
      <c r="J1297" s="1818"/>
      <c r="K1297" s="2233" t="str">
        <f>IF('Part VI-Revenues &amp; Expenses'!$M$152 =0,"",'Part VI-Revenues &amp; Expenses'!$M$152)</f>
        <v/>
      </c>
      <c r="L1297" s="2234">
        <f>G1297*(1+'DCA Underwriting Assumptions'!$Q$12)</f>
        <v>250415.60500000001</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f>IF('Part VI-Revenues &amp; Expenses'!$N$151 =0,"",'Part VI-Revenues &amp; Expenses'!$N$151)</f>
        <v>16</v>
      </c>
      <c r="G1298" s="2234">
        <f>'Part VIII-Threshold Criteria'!G58</f>
        <v>286873.40000000002</v>
      </c>
      <c r="H1298" s="2121" t="str">
        <f>CONCATENATE("x ", F1298," units = ")</f>
        <v xml:space="preserve">x 16 units = </v>
      </c>
      <c r="I1298" s="2052">
        <f>IF(F1298="","",F1298*G1298)</f>
        <v>4589974.4000000004</v>
      </c>
      <c r="J1298" s="1818"/>
      <c r="K1298" s="2233" t="str">
        <f>IF('Part VI-Revenues &amp; Expenses'!$N$152 =0,"",'Part VI-Revenues &amp; Expenses'!$N$152)</f>
        <v/>
      </c>
      <c r="L1298" s="2234">
        <f>G1298*(1+'DCA Underwriting Assumptions'!$Q$12)</f>
        <v>315560.74000000005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355345.10000000003</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390879.61000000004</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72</v>
      </c>
      <c r="G1300" s="2238"/>
      <c r="H1300" s="2239"/>
      <c r="I1300" s="2240">
        <f>SUM(I1295:I1299)</f>
        <v>16573480.4</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138457.19999999998</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152302.91999999998</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185762.94999999998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204339.245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16573480.4</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238837.74999999997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262721.52499999997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304604.30000000005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335064.7300000001</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380756.2</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418831.82000000007</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72</v>
      </c>
      <c r="G1309" s="1875"/>
      <c r="H1309" s="1995">
        <f>I1286+I1293+I1300+I1307</f>
        <v>16573480.4</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3371</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development is below the 2021 DCA cost limit of $16,573,480</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6433</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6434</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3371</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This development is a Family development.</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3949</v>
      </c>
      <c r="M1319" s="2251" t="s">
        <v>3950</v>
      </c>
      <c r="O1319" s="2224" t="s">
        <v>1781</v>
      </c>
      <c r="P1319" s="1719"/>
      <c r="Q1319" s="1719"/>
    </row>
    <row r="1320" spans="1:31" s="1852" customFormat="1" ht="1.5" customHeight="1"/>
    <row r="1321" spans="1:31" s="1852" customFormat="1" ht="12" customHeight="1">
      <c r="A1321" s="2224" t="s">
        <v>1893</v>
      </c>
      <c r="B1321" s="2223" t="s">
        <v>3943</v>
      </c>
      <c r="C1321" s="2223"/>
      <c r="D1321" s="2223"/>
      <c r="E1321" s="2223"/>
      <c r="F1321" s="2223"/>
      <c r="G1321" s="2223"/>
      <c r="H1321" s="2223"/>
      <c r="I1321" s="2223"/>
      <c r="J1321" s="2223"/>
      <c r="L1321" s="2252" t="s">
        <v>2698</v>
      </c>
      <c r="M1321" s="2055">
        <v>2</v>
      </c>
      <c r="N1321" s="2223" t="s">
        <v>4225</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6411</v>
      </c>
      <c r="M1323" s="2252"/>
      <c r="O1323" s="2223"/>
      <c r="P1323" s="2253">
        <f>'Part VIII-Threshold Criteria'!P83</f>
        <v>2</v>
      </c>
      <c r="Q1323" s="2254"/>
    </row>
    <row r="1324" spans="1:31" s="1852" customFormat="1" ht="12" customHeight="1">
      <c r="A1324" s="2255" t="s">
        <v>1895</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4226</v>
      </c>
      <c r="O1325" s="2256"/>
      <c r="P1325" s="2230" t="str">
        <f>'Part VIII-Threshold Criteria'!P85</f>
        <v>N/ap</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4227</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4228</v>
      </c>
      <c r="O1327" s="2256"/>
      <c r="P1327" s="2230" t="str">
        <f>'Part VIII-Threshold Criteria'!P87</f>
        <v>Agree</v>
      </c>
      <c r="Q1327" s="2164"/>
    </row>
    <row r="1328" spans="1:31" s="1852" customFormat="1" ht="12.75" customHeight="1">
      <c r="A1328" s="2257"/>
      <c r="B1328" s="2228" t="s">
        <v>2260</v>
      </c>
      <c r="C1328" s="2228" t="s">
        <v>3956</v>
      </c>
      <c r="D1328" s="435"/>
      <c r="E1328" s="435"/>
      <c r="F1328" s="435"/>
      <c r="G1328" s="435"/>
      <c r="H1328" s="435"/>
      <c r="I1328" s="1818"/>
      <c r="J1328" s="1818"/>
      <c r="N1328" s="2223" t="s">
        <v>4229</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4230</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3371</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Elmington Property Management will identify the needs of the community and provide social and recreational programming, and monitor resident participation.</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4221</v>
      </c>
      <c r="C1335" s="2105"/>
      <c r="D1335" s="2228"/>
      <c r="E1335" s="2228"/>
      <c r="F1335" s="2228"/>
      <c r="G1335" s="2228"/>
      <c r="H1335" s="2164" t="str">
        <f>'Part I-Project Information'!$K$41</f>
        <v>Urban</v>
      </c>
      <c r="J1335" s="2255" t="s">
        <v>4224</v>
      </c>
      <c r="K1335" s="435" t="str">
        <f>'Part I-Project Information'!$H$105</f>
        <v>Other Metro</v>
      </c>
      <c r="L1335" s="2255" t="s">
        <v>3986</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Real Property Research Group</v>
      </c>
      <c r="N1337" s="2111"/>
      <c r="O1337" s="2111"/>
      <c r="P1337" s="1976"/>
      <c r="Q1337" s="2164"/>
    </row>
    <row r="1338" spans="1:31" s="1852" customFormat="1" ht="12.75" customHeight="1">
      <c r="A1338" s="2255" t="s">
        <v>1895</v>
      </c>
      <c r="B1338" s="435" t="s">
        <v>4147</v>
      </c>
      <c r="D1338" s="435"/>
      <c r="E1338" s="435"/>
      <c r="F1338" s="435"/>
      <c r="L1338" s="2255" t="s">
        <v>1895</v>
      </c>
      <c r="M1338" s="2111" t="str">
        <f>'Part VIII-Threshold Criteria'!M98</f>
        <v>4 months</v>
      </c>
      <c r="N1338" s="2111"/>
      <c r="O1338" s="2111"/>
      <c r="P1338" s="1976"/>
      <c r="Q1338" s="2164"/>
    </row>
    <row r="1339" spans="1:31" s="1852" customFormat="1" ht="12.75" customHeight="1">
      <c r="A1339" s="2255" t="s">
        <v>719</v>
      </c>
      <c r="B1339" s="435" t="s">
        <v>2671</v>
      </c>
      <c r="D1339" s="435"/>
      <c r="E1339" s="435"/>
      <c r="F1339" s="435"/>
      <c r="L1339" s="2255" t="s">
        <v>719</v>
      </c>
      <c r="M1339" s="2258">
        <f>'Part VIII-Threshold Criteria'!M99</f>
        <v>0.996</v>
      </c>
      <c r="N1339" s="2258"/>
      <c r="O1339" s="2258"/>
      <c r="P1339" s="2259"/>
      <c r="Q1339" s="2164"/>
    </row>
    <row r="1340" spans="1:31" s="1852" customFormat="1" ht="12.75" customHeight="1">
      <c r="A1340" s="2255" t="s">
        <v>2021</v>
      </c>
      <c r="B1340" s="435" t="s">
        <v>3443</v>
      </c>
      <c r="D1340" s="435"/>
      <c r="E1340" s="435"/>
      <c r="F1340" s="435"/>
      <c r="J1340" s="2255" t="s">
        <v>3444</v>
      </c>
      <c r="K1340" s="2260">
        <f>'Part VIII-Threshold Criteria'!K100</f>
        <v>7.0000000000000007E-2</v>
      </c>
      <c r="L1340" s="2261"/>
      <c r="N1340" s="2262"/>
      <c r="O1340" s="2263" t="s">
        <v>3540</v>
      </c>
      <c r="P1340" s="2260">
        <f>'Part VIII-Threshold Criteria'!P100</f>
        <v>7.0000000000000001E-3</v>
      </c>
      <c r="Q1340" s="2261"/>
    </row>
    <row r="1341" spans="1:31" s="1852" customFormat="1" ht="12.75" customHeight="1">
      <c r="A1341" s="2255" t="s">
        <v>1656</v>
      </c>
      <c r="B1341" s="435" t="s">
        <v>4148</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2018-025</v>
      </c>
      <c r="E1343" s="2111" t="str">
        <f>'Part VIII-Threshold Criteria'!E103</f>
        <v>Memorial Drive</v>
      </c>
      <c r="F1343" s="2111"/>
      <c r="G1343" s="2111"/>
      <c r="H1343" s="2255" t="s">
        <v>1660</v>
      </c>
      <c r="I1343" s="2230" t="str">
        <f>'Part VIII-Threshold Criteria'!I103</f>
        <v>NA</v>
      </c>
      <c r="J1343" s="2111" t="str">
        <f>'Part VIII-Threshold Criteria'!J103</f>
        <v>Ashton Place</v>
      </c>
      <c r="K1343" s="2111"/>
      <c r="L1343" s="2111"/>
      <c r="M1343" s="2255" t="s">
        <v>1487</v>
      </c>
      <c r="N1343" s="2230" t="str">
        <f>'Part VIII-Threshold Criteria'!N103</f>
        <v>2014-012</v>
      </c>
      <c r="O1343" s="2111" t="str">
        <f>'Part VIII-Threshold Criteria'!O103</f>
        <v>Royal Oaks</v>
      </c>
      <c r="P1343" s="2111"/>
      <c r="Q1343" s="2111"/>
    </row>
    <row r="1344" spans="1:31" s="1852" customFormat="1" ht="12.75" customHeight="1">
      <c r="C1344" s="2255" t="s">
        <v>1659</v>
      </c>
      <c r="D1344" s="2230" t="str">
        <f>'Part VIII-Threshold Criteria'!D104</f>
        <v>2015-052</v>
      </c>
      <c r="E1344" s="2111" t="str">
        <f>'Part VIII-Threshold Criteria'!E104</f>
        <v>Live Oak Villas</v>
      </c>
      <c r="F1344" s="2111"/>
      <c r="G1344" s="2111"/>
      <c r="H1344" s="2255" t="s">
        <v>2260</v>
      </c>
      <c r="I1344" s="2230" t="str">
        <f>'Part VIII-Threshold Criteria'!I104</f>
        <v>2001-021</v>
      </c>
      <c r="J1344" s="2111" t="str">
        <f>'Part VIII-Threshold Criteria'!J104</f>
        <v>The Pines at Willowbrook</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6325</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6327</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6329</v>
      </c>
      <c r="D1347" s="435"/>
      <c r="E1347" s="435"/>
      <c r="F1347" s="435"/>
      <c r="G1347" s="435"/>
      <c r="H1347" s="435"/>
      <c r="I1347" s="1818"/>
      <c r="J1347" s="1818"/>
      <c r="K1347" s="435"/>
      <c r="L1347" s="2121"/>
      <c r="M1347" s="2121"/>
      <c r="O1347" s="2255" t="s">
        <v>3124</v>
      </c>
      <c r="P1347" s="2260">
        <f>'Part VIII-Threshold Criteria'!P107</f>
        <v>0.93</v>
      </c>
      <c r="Q1347" s="2261"/>
    </row>
    <row r="1348" spans="1:31" s="2158" customFormat="1" ht="60" customHeight="1">
      <c r="A1348" s="2224" t="s">
        <v>586</v>
      </c>
      <c r="B1348" s="2223" t="s">
        <v>7053</v>
      </c>
      <c r="C1348" s="2223"/>
      <c r="D1348" s="2223"/>
      <c r="E1348" s="2223"/>
      <c r="F1348" s="2223"/>
      <c r="G1348" s="2223"/>
      <c r="H1348" s="2223"/>
      <c r="I1348" s="2223"/>
      <c r="J1348" s="2223"/>
      <c r="K1348" s="2223"/>
      <c r="L1348" s="2223"/>
      <c r="M1348" s="2223"/>
      <c r="N1348" s="2223"/>
      <c r="O1348" s="2224" t="s">
        <v>6328</v>
      </c>
      <c r="P1348" s="2264" t="str">
        <f>'Part VIII-Threshold Criteria'!P108</f>
        <v>Yes</v>
      </c>
      <c r="Q1348" s="2252"/>
    </row>
    <row r="1349" spans="1:31" s="1818" customFormat="1" ht="12.75" customHeight="1">
      <c r="A1349" s="2255"/>
      <c r="B1349" s="2228" t="s">
        <v>1659</v>
      </c>
      <c r="C1349" s="435" t="s">
        <v>4277</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3371</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Ashton Place was awarded prior to 1996 and thus DCA's interactive map/Funding and Funding Cycle Selections does not list this project, and therefore the DCA project number could not be located. The development will include 72 units. The overall market has a very healthy occupancy of 99.6% and an overall capture rate of 7% which is well below DCA standards. All LIHTC properties within the market currently have waiting lists, and no projects have been awarded in Flemington for over 15 years.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4231</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4012</v>
      </c>
      <c r="O1358" s="2255" t="s">
        <v>1659</v>
      </c>
      <c r="P1358" s="2230">
        <f>'Part VIII-Threshold Criteria'!P118</f>
        <v>0</v>
      </c>
      <c r="Q1358" s="2164"/>
    </row>
    <row r="1359" spans="1:31" s="1818" customFormat="1" ht="12.75" customHeight="1">
      <c r="B1359" s="2228" t="s">
        <v>1660</v>
      </c>
      <c r="C1359" s="435" t="s">
        <v>4258</v>
      </c>
      <c r="O1359" s="2224" t="s">
        <v>1660</v>
      </c>
      <c r="P1359" s="2265">
        <f>'Part VIII-Threshold Criteria'!P119</f>
        <v>0</v>
      </c>
      <c r="Q1359" s="2266"/>
    </row>
    <row r="1360" spans="1:31" s="1852" customFormat="1" ht="12.75" customHeight="1">
      <c r="A1360" s="2164"/>
      <c r="B1360" s="2228" t="s">
        <v>2260</v>
      </c>
      <c r="C1360" s="2121" t="s">
        <v>3958</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4150</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4149</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4280</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4279</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3371</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There is no identity of interest between the buyer and seller, therefore no appraisal was required for the 9% application.</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6440</v>
      </c>
      <c r="D1374" s="435"/>
      <c r="E1374" s="435"/>
      <c r="F1374" s="435"/>
      <c r="G1374" s="435"/>
      <c r="H1374" s="435"/>
      <c r="I1374" s="1818"/>
      <c r="J1374" s="1818"/>
      <c r="K1374" s="2255" t="s">
        <v>1893</v>
      </c>
      <c r="L1374" s="2183" t="str">
        <f>'Part VIII-Threshold Criteria'!L134</f>
        <v>Geotechnical &amp; Enviornmental Consultants</v>
      </c>
      <c r="M1374" s="2183"/>
      <c r="N1374" s="2183"/>
      <c r="O1374" s="2183"/>
      <c r="P1374" s="2183"/>
      <c r="Q1374" s="2164"/>
    </row>
    <row r="1375" spans="1:31" s="1852" customFormat="1" ht="12" customHeight="1">
      <c r="B1375" s="2112" t="s">
        <v>6441</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Geotechnical &amp; Enviornmental Consultants</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f>'Part VIII-Threshold Criteria'!P139</f>
        <v>62</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Yes</v>
      </c>
      <c r="G1382" s="2164"/>
      <c r="H1382" s="2255" t="s">
        <v>4040</v>
      </c>
      <c r="I1382" s="435" t="s">
        <v>6330</v>
      </c>
      <c r="K1382" s="2230" t="str">
        <f>'Part VIII-Threshold Criteria'!K142</f>
        <v>No</v>
      </c>
      <c r="L1382" s="2164"/>
      <c r="M1382" s="2255" t="s">
        <v>4044</v>
      </c>
      <c r="N1382" s="2112" t="s">
        <v>3417</v>
      </c>
      <c r="O1382" s="2121"/>
      <c r="P1382" s="2230" t="str">
        <f>'Part VIII-Threshold Criteria'!P142</f>
        <v>No</v>
      </c>
      <c r="Q1382" s="2164"/>
    </row>
    <row r="1383" spans="1:17" s="1852" customFormat="1" ht="12.75" customHeight="1">
      <c r="B1383" s="2121" t="s">
        <v>1659</v>
      </c>
      <c r="C1383" s="435" t="s">
        <v>6442</v>
      </c>
      <c r="E1383" s="435"/>
      <c r="F1383" s="2230" t="str">
        <f>'Part VIII-Threshold Criteria'!F143</f>
        <v>Yes</v>
      </c>
      <c r="G1383" s="2164"/>
      <c r="H1383" s="2255" t="s">
        <v>4041</v>
      </c>
      <c r="I1383" s="435" t="s">
        <v>6331</v>
      </c>
      <c r="K1383" s="2230" t="str">
        <f>'Part VIII-Threshold Criteria'!K143</f>
        <v>No</v>
      </c>
      <c r="L1383" s="2164"/>
      <c r="M1383" s="2255" t="s">
        <v>4045</v>
      </c>
      <c r="N1383" s="435" t="s">
        <v>1489</v>
      </c>
      <c r="P1383" s="2230" t="str">
        <f>'Part VIII-Threshold Criteria'!P143</f>
        <v>No</v>
      </c>
      <c r="Q1383" s="2164"/>
    </row>
    <row r="1384" spans="1:17" s="1852" customFormat="1" ht="12" customHeight="1">
      <c r="A1384" s="435"/>
      <c r="B1384" s="2121" t="s">
        <v>1660</v>
      </c>
      <c r="C1384" s="435" t="s">
        <v>6443</v>
      </c>
      <c r="E1384" s="435"/>
      <c r="F1384" s="2230" t="str">
        <f>'Part VIII-Threshold Criteria'!F144</f>
        <v>Yes</v>
      </c>
      <c r="G1384" s="2164"/>
      <c r="H1384" s="2255" t="s">
        <v>4042</v>
      </c>
      <c r="I1384" s="2112" t="s">
        <v>6444</v>
      </c>
      <c r="K1384" s="2230" t="str">
        <f>'Part VIII-Threshold Criteria'!K144</f>
        <v>No</v>
      </c>
      <c r="L1384" s="2164"/>
      <c r="M1384" s="2255" t="s">
        <v>6445</v>
      </c>
      <c r="N1384" s="2112" t="s">
        <v>6332</v>
      </c>
      <c r="P1384" s="2230" t="str">
        <f>'Part VIII-Threshold Criteria'!P144</f>
        <v>No</v>
      </c>
      <c r="Q1384" s="2164"/>
    </row>
    <row r="1385" spans="1:17" s="1852" customFormat="1" ht="12" customHeight="1">
      <c r="A1385" s="435"/>
      <c r="B1385" s="2121" t="s">
        <v>2260</v>
      </c>
      <c r="C1385" s="2112" t="s">
        <v>2503</v>
      </c>
      <c r="E1385" s="435"/>
      <c r="F1385" s="2230" t="str">
        <f>'Part VIII-Threshold Criteria'!F145</f>
        <v>Yes</v>
      </c>
      <c r="G1385" s="2164"/>
      <c r="H1385" s="2255" t="s">
        <v>4043</v>
      </c>
      <c r="I1385" s="2223" t="s">
        <v>6447</v>
      </c>
      <c r="J1385" s="2223"/>
      <c r="K1385" s="2223"/>
      <c r="M1385" s="2255" t="s">
        <v>6446</v>
      </c>
      <c r="N1385" s="435" t="s">
        <v>141</v>
      </c>
      <c r="P1385" s="2230" t="str">
        <f>'Part VIII-Threshold Criteria'!P145</f>
        <v>No</v>
      </c>
      <c r="Q1385" s="2164"/>
    </row>
    <row r="1386" spans="1:17" s="1852" customFormat="1" ht="12" customHeight="1">
      <c r="A1386" s="435"/>
      <c r="B1386" s="2255" t="s">
        <v>4039</v>
      </c>
      <c r="C1386" s="435" t="s">
        <v>2611</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6466</v>
      </c>
      <c r="C1387" s="435" t="s">
        <v>2612</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None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3259</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2260</v>
      </c>
      <c r="C1393" s="435" t="s">
        <v>4026</v>
      </c>
      <c r="E1393" s="435"/>
      <c r="F1393" s="435"/>
      <c r="G1393" s="435"/>
      <c r="H1393" s="435"/>
      <c r="I1393" s="1818"/>
      <c r="J1393" s="1818"/>
      <c r="K1393" s="435"/>
      <c r="L1393" s="435"/>
      <c r="M1393" s="435"/>
      <c r="O1393" s="2255" t="s">
        <v>2260</v>
      </c>
      <c r="P1393" s="2230">
        <f>'Part VIII-Threshold Criteria'!P153</f>
        <v>0</v>
      </c>
      <c r="Q1393" s="2164"/>
    </row>
    <row r="1394" spans="1:31" s="1852" customFormat="1" ht="12" customHeight="1">
      <c r="A1394" s="2112" t="s">
        <v>4151</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7129</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3371</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The ESA Phase I did not require a Phase II. The Noise levels are below DCA threshold. Wetlands and state waters are on the project site, but the construction of the project will not have an impact on either as mentioned in section 5.2 of the Phase I report and in the GEC Wetlands letter provided in the application documents. The project is located within Zone X-unshaded accorinding to the FEMA map, which means it is outside of the .2% annual chance floodplain. There are portions of the site witthing the Special Flood Hazard Area, but that portion of the site will not be disturbed per section 5.3 of the Phase I report. Additionally, though 1 endangered species, 3 threatened species, and 1 candidate species were mentioned to be in the project area, GEC did not observe any of these at the site, and does not anticipate that they will be a factor for this project as stated in section 5.4 of the Phase I report.</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7054</v>
      </c>
      <c r="D1403" s="435"/>
      <c r="E1403" s="435"/>
      <c r="F1403" s="435"/>
      <c r="G1403" s="435"/>
      <c r="K1403" s="435" t="s">
        <v>2555</v>
      </c>
      <c r="M1403" s="2267">
        <f>'Part VIII-Threshold Criteria'!M163</f>
        <v>44892</v>
      </c>
      <c r="N1403" s="2267"/>
      <c r="O1403" s="2255" t="s">
        <v>1658</v>
      </c>
      <c r="P1403" s="2230" t="str">
        <f>'Part VIII-Threshold Criteria'!P163</f>
        <v>Yes</v>
      </c>
      <c r="Q1403" s="2164"/>
    </row>
    <row r="1404" spans="1:31" s="1852" customFormat="1" ht="12" customHeight="1">
      <c r="A1404" s="2255"/>
      <c r="B1404" s="2121" t="s">
        <v>1659</v>
      </c>
      <c r="C1404" s="435" t="s">
        <v>7055</v>
      </c>
      <c r="D1404" s="435"/>
      <c r="E1404" s="435"/>
      <c r="F1404" s="435"/>
      <c r="G1404" s="435"/>
      <c r="K1404" s="435" t="s">
        <v>2555</v>
      </c>
      <c r="M1404" s="2267" t="str">
        <f>'Part VIII-Threshold Criteria'!M164</f>
        <v>NA</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HH Family I, LP</v>
      </c>
      <c r="L1406" s="2111"/>
      <c r="M1406" s="2111"/>
      <c r="N1406" s="2111"/>
      <c r="O1406" s="2111"/>
      <c r="P1406" s="2111"/>
      <c r="Q1406" s="2164"/>
    </row>
    <row r="1407" spans="1:31" s="1852" customFormat="1" ht="21.75" customHeight="1">
      <c r="A1407" s="2224" t="s">
        <v>2021</v>
      </c>
      <c r="B1407" s="2223" t="s">
        <v>6448</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3371</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purchase and sale agreement goes to May 31, 2022 with (3) 60-day extensions. Grovecreek Ventures, LCC has assigned this P&amp;S agreement to HH Family I, LP. The assignment agreement is included in Tab 8 "Site Control"</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3365</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3959</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3366</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4007</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3371</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Site access is legally accessible from Patriot Trail, a paved public road</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6378</v>
      </c>
      <c r="O1423" s="2224" t="s">
        <v>1781</v>
      </c>
      <c r="P1423" s="1719"/>
      <c r="Q1423" s="1719"/>
    </row>
    <row r="1424" spans="1:44" s="1852" customFormat="1" ht="11.45" customHeight="1">
      <c r="B1424" s="2112" t="s">
        <v>6449</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6334</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4009</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7130</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3367</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3371</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site is zoned NC/R, which permits Multifamily Apartments as explained in the letter from Gabrielle Hartage. Please note the map within the ordinace is outdated from 2010, and the updated map is provided as item 1003HntHvnZningMap in the "Site Zoning" Tab</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6378</v>
      </c>
      <c r="G1441" s="2228"/>
      <c r="J1441" s="2223"/>
      <c r="K1441" s="2223"/>
      <c r="L1441" s="2223"/>
      <c r="M1441" s="2223"/>
      <c r="N1441" s="2223"/>
      <c r="O1441" s="2224" t="s">
        <v>1781</v>
      </c>
      <c r="P1441" s="1719"/>
      <c r="Q1441" s="1719"/>
    </row>
    <row r="1442" spans="1:44" s="1852" customFormat="1" ht="12.75" customHeight="1">
      <c r="B1442" s="2112" t="s">
        <v>6449</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NA</v>
      </c>
      <c r="K1444" s="2111"/>
      <c r="L1444" s="2111"/>
      <c r="M1444" s="2111"/>
      <c r="N1444" s="2111"/>
      <c r="O1444" s="2255" t="s">
        <v>1658</v>
      </c>
      <c r="P1444" s="2230" t="str">
        <f>'Part VIII-Threshold Criteria'!P204</f>
        <v>No</v>
      </c>
      <c r="Q1444" s="2164"/>
    </row>
    <row r="1445" spans="1:44" s="1852" customFormat="1" ht="12.75" customHeight="1">
      <c r="A1445" s="2141"/>
      <c r="B1445" s="2170" t="s">
        <v>3371</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The proposed development will be 100% electic, no gas.</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6379</v>
      </c>
      <c r="J1450" s="2228"/>
      <c r="K1450" s="2228"/>
      <c r="L1450" s="2228"/>
      <c r="M1450" s="2228"/>
      <c r="O1450" s="2224" t="s">
        <v>1781</v>
      </c>
      <c r="P1450" s="1719"/>
      <c r="Q1450" s="1719"/>
    </row>
    <row r="1451" spans="1:44" s="1852" customFormat="1" ht="12.75" customHeight="1">
      <c r="B1451" s="2112" t="s">
        <v>6449</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Hinesville</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Hinesville</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3449</v>
      </c>
      <c r="D1454" s="435"/>
      <c r="E1454" s="435"/>
      <c r="F1454" s="435"/>
      <c r="G1454" s="435"/>
      <c r="H1454" s="435"/>
      <c r="I1454" s="435"/>
      <c r="J1454" s="435"/>
      <c r="K1454" s="1818"/>
      <c r="L1454" s="435"/>
      <c r="M1454" s="435"/>
      <c r="O1454" s="2255" t="s">
        <v>1895</v>
      </c>
      <c r="P1454" s="2230" t="str">
        <f>'Part VIII-Threshold Criteria'!P214</f>
        <v>No</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3371</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Water and Sewer are located at the site per the letter from City of Hinesville Water and Sewer and tie locations depcited on the CSDP. No easements, commitments, or improvements are needed. </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7131</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7132</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7056</v>
      </c>
      <c r="D1468" s="435"/>
      <c r="E1468" s="435"/>
      <c r="F1468" s="435"/>
      <c r="G1468" s="435"/>
      <c r="H1468" s="435"/>
      <c r="I1468" s="435"/>
      <c r="J1468" s="435"/>
      <c r="K1468" s="1818"/>
      <c r="L1468" s="1818"/>
      <c r="M1468" s="1818"/>
      <c r="N1468" s="2255" t="s">
        <v>3272</v>
      </c>
      <c r="O1468" s="2273">
        <f>'Part VI-Revenues &amp; Expenses'!$P$67</f>
        <v>72</v>
      </c>
      <c r="P1468" s="2112" t="s">
        <v>4036</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4037</v>
      </c>
      <c r="D1469" s="435"/>
      <c r="E1469" s="435"/>
      <c r="F1469" s="435"/>
      <c r="H1469" s="2255" t="s">
        <v>4038</v>
      </c>
      <c r="I1469" s="435" t="s">
        <v>7133</v>
      </c>
      <c r="M1469" s="1818"/>
      <c r="N1469" s="1818"/>
      <c r="O1469" s="2044"/>
      <c r="P1469" s="2129" t="s">
        <v>743</v>
      </c>
      <c r="Q1469" s="2129" t="s">
        <v>4035</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Equipped playground</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 xml:space="preserve">Covered pavilion with picnic/BBQ facilities </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4046</v>
      </c>
      <c r="C1473" s="2226" t="str">
        <f>'Part VIII-Threshold Criteria'!C233</f>
        <v>(Select an amenity from options provided here)</v>
      </c>
      <c r="D1473" s="2226"/>
      <c r="E1473" s="2226"/>
      <c r="F1473" s="2226"/>
      <c r="G1473" s="2226"/>
      <c r="H1473" s="2255" t="s">
        <v>4046</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6336</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6451</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6312</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3371</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None of the proposed amenities require a waiver.</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6337</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6340</v>
      </c>
    </row>
    <row r="1490" spans="1:44" s="1852" customFormat="1" ht="10.5" customHeight="1">
      <c r="A1490" s="2224"/>
      <c r="B1490" s="435" t="s">
        <v>6342</v>
      </c>
      <c r="C1490" s="1818"/>
      <c r="D1490" s="1818"/>
      <c r="E1490" s="1818"/>
      <c r="F1490" s="1818"/>
      <c r="G1490" s="1818"/>
      <c r="H1490" s="1818"/>
      <c r="I1490" s="1818"/>
      <c r="J1490" s="2044" t="s">
        <v>6341</v>
      </c>
      <c r="K1490" s="435" t="s">
        <v>6342</v>
      </c>
      <c r="L1490" s="1818"/>
      <c r="M1490" s="1818"/>
      <c r="N1490" s="1818"/>
      <c r="O1490" s="1818"/>
      <c r="P1490" s="1818"/>
      <c r="Q1490" s="2044" t="s">
        <v>6341</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6343</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6339</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6338</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3371</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 xml:space="preserve">Project is not located in the QCT and therefore is not eligible to provide a CSF </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4152</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6452</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6453</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6454</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6464</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6465</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3376</v>
      </c>
      <c r="C1517" s="2223"/>
      <c r="D1517" s="2223"/>
      <c r="E1517" s="2223"/>
      <c r="F1517" s="2223"/>
      <c r="G1517" s="2223"/>
      <c r="H1517" s="2112" t="s">
        <v>3532</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6825</v>
      </c>
      <c r="C1521" s="2223" t="s">
        <v>7134</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3371</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not a rehab development</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4234</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3373</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3374</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4261</v>
      </c>
      <c r="D1531" s="2223"/>
      <c r="E1531" s="2223"/>
      <c r="F1531" s="2223"/>
      <c r="G1531" s="2223"/>
      <c r="H1531" s="2223"/>
      <c r="I1531" s="2223"/>
      <c r="J1531" s="2223"/>
      <c r="K1531" s="2223"/>
      <c r="L1531" s="2223"/>
      <c r="M1531" s="2223"/>
      <c r="N1531" s="2223"/>
      <c r="O1531" s="2224" t="s">
        <v>4262</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3375</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6344</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3371</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CSDP and supplemental documents meet the requirements above.</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6452</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6456</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4027</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HIRL National Green Building Standard - Min Bronze</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6455</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6457</v>
      </c>
      <c r="D1546" s="1818"/>
      <c r="E1546" s="1818"/>
      <c r="N1546" s="2283" t="s">
        <v>6458</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3371</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NGBS Scoring worksheet and summmary are provided in the applicaiton.</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6452</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7057</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4260</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6459</v>
      </c>
      <c r="D1557" s="2223"/>
      <c r="E1557" s="2223"/>
      <c r="F1557" s="2223"/>
      <c r="G1557" s="2223"/>
      <c r="H1557" s="2223"/>
      <c r="I1557" s="2223"/>
      <c r="J1557" s="2223"/>
      <c r="K1557" s="2223"/>
      <c r="L1557" s="2223"/>
      <c r="M1557" s="2223"/>
      <c r="N1557" s="2223"/>
      <c r="O1557" s="2224" t="s">
        <v>1660</v>
      </c>
      <c r="P1557" s="2264" t="str">
        <f>'Part VIII-Threshold Criteria'!P317</f>
        <v>No</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7058</v>
      </c>
      <c r="E1559" s="2223"/>
      <c r="F1559" s="2223"/>
      <c r="G1559" s="2223"/>
      <c r="H1559" s="2223"/>
      <c r="I1559" s="2223"/>
      <c r="J1559" s="2112" t="s">
        <v>3399</v>
      </c>
      <c r="K1559" s="2112"/>
      <c r="L1559" s="2112"/>
      <c r="M1559" s="2287" t="s">
        <v>3378</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3379</v>
      </c>
      <c r="N1560" s="2164" t="s">
        <v>3398</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3287</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7059</v>
      </c>
      <c r="E1562" s="2223"/>
      <c r="F1562" s="2223"/>
      <c r="G1562" s="2223"/>
      <c r="H1562" s="2223"/>
      <c r="I1562" s="2290" t="s">
        <v>3538</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7060</v>
      </c>
      <c r="D1564" s="2223"/>
      <c r="E1564" s="2223"/>
      <c r="F1564" s="2223"/>
      <c r="G1564" s="2223"/>
      <c r="H1564" s="2223"/>
      <c r="I1564" s="435" t="s">
        <v>3539</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3289</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3290</v>
      </c>
      <c r="D1569" s="2223"/>
      <c r="E1569" s="2223"/>
      <c r="F1569" s="2223"/>
      <c r="G1569" s="2223"/>
      <c r="H1569" s="2223"/>
      <c r="I1569" s="2223" t="s">
        <v>3377</v>
      </c>
      <c r="J1569" s="2223"/>
      <c r="K1569" s="2223"/>
      <c r="L1569" s="2226" t="str">
        <f>'Part VIII-Threshold Criteria'!L329</f>
        <v>Teresa Kitay at Law</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3288</v>
      </c>
      <c r="D1570" s="2223"/>
      <c r="E1570" s="2223"/>
      <c r="F1570" s="2223"/>
      <c r="G1570" s="2223"/>
      <c r="H1570" s="2223"/>
      <c r="I1570" s="2223"/>
      <c r="J1570" s="2223"/>
      <c r="K1570" s="2223"/>
      <c r="L1570" s="2223"/>
      <c r="M1570" s="2223"/>
      <c r="N1570" s="2223"/>
      <c r="O1570" s="2224" t="s">
        <v>3293</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4008</v>
      </c>
      <c r="D1571" s="2223"/>
      <c r="E1571" s="2223"/>
      <c r="F1571" s="2223"/>
      <c r="G1571" s="2223"/>
      <c r="H1571" s="2223"/>
      <c r="I1571" s="2223"/>
      <c r="J1571" s="2223"/>
      <c r="K1571" s="2223"/>
      <c r="L1571" s="2223"/>
      <c r="M1571" s="2223"/>
      <c r="N1571" s="2223"/>
      <c r="O1571" s="2224" t="s">
        <v>3294</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3291</v>
      </c>
      <c r="D1572" s="2223"/>
      <c r="E1572" s="2223"/>
      <c r="F1572" s="2223"/>
      <c r="G1572" s="2223"/>
      <c r="H1572" s="2223"/>
      <c r="I1572" s="2223"/>
      <c r="J1572" s="2223"/>
      <c r="K1572" s="2223"/>
      <c r="L1572" s="2223"/>
      <c r="M1572" s="2223"/>
      <c r="N1572" s="2223"/>
      <c r="O1572" s="2224" t="s">
        <v>3295</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3292</v>
      </c>
      <c r="D1573" s="2223"/>
      <c r="E1573" s="2223"/>
      <c r="F1573" s="2223"/>
      <c r="G1573" s="2223"/>
      <c r="H1573" s="2223"/>
      <c r="I1573" s="2223"/>
      <c r="J1573" s="2223"/>
      <c r="K1573" s="2223"/>
      <c r="L1573" s="2223"/>
      <c r="M1573" s="2223"/>
      <c r="N1573" s="2223"/>
      <c r="O1573" s="2224" t="s">
        <v>3296</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3371</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Project is a Family project therefore item A.3 above is NA. The development will comply with all standards mentioned above and will contract with a DCA qualified consultant during design and construction.</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7061</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No</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6345</v>
      </c>
      <c r="D1588" s="2223"/>
      <c r="E1588" s="2223"/>
      <c r="F1588" s="2223"/>
      <c r="G1588" s="1864" t="s">
        <v>6346</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6612</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6613</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7062</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3371</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Project is a New Construction project therefore item A above is NA. The development will comply with all standards mentioned above.</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1781</v>
      </c>
      <c r="P1597" s="1719"/>
      <c r="Q1597" s="1719"/>
    </row>
    <row r="1598" spans="1:256 1523:1523" s="1852" customFormat="1" ht="11.45" customHeight="1">
      <c r="A1598" s="2255" t="s">
        <v>1893</v>
      </c>
      <c r="B1598" s="2112" t="s">
        <v>6377</v>
      </c>
      <c r="O1598" s="2224" t="s">
        <v>1893</v>
      </c>
      <c r="P1598" s="2230" t="str">
        <f>'Part VIII-Threshold Criteria'!P358</f>
        <v>Yes</v>
      </c>
      <c r="Q1598" s="2164"/>
    </row>
    <row r="1599" spans="1:256 1523:1523" s="1852" customFormat="1" ht="11.45" customHeight="1">
      <c r="A1599" s="2224" t="s">
        <v>1895</v>
      </c>
      <c r="B1599" s="2112" t="s">
        <v>3513</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3414</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3371</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applicant was deemed qualified at Pre-Application</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6348</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7063</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72</v>
      </c>
      <c r="F1611" s="435" t="s">
        <v>4079</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6349</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6350</v>
      </c>
      <c r="D1613" s="435"/>
      <c r="E1613" s="435"/>
      <c r="F1613" s="435"/>
      <c r="G1613" s="435"/>
      <c r="H1613" s="435"/>
      <c r="I1613" s="435"/>
      <c r="J1613" s="435"/>
      <c r="M1613" s="2296">
        <f>'Part VIII-Threshold Criteria'!M373</f>
        <v>0</v>
      </c>
      <c r="N1613" s="2296"/>
    </row>
    <row r="1614" spans="1:44" s="1852" customFormat="1" ht="10.5" customHeight="1">
      <c r="B1614" s="2170" t="s">
        <v>3371</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This section is 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3506</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3507</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3499</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3502</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7135</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3503</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3371</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This section is NA</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3330</v>
      </c>
      <c r="G1639" s="2121"/>
      <c r="H1639" s="2121"/>
      <c r="I1639" s="2121"/>
      <c r="J1639" s="2121" t="s">
        <v>3331</v>
      </c>
      <c r="L1639" s="2121"/>
      <c r="M1639" s="2297">
        <f>'Part III-Sources of Funds'!H1196</f>
        <v>0</v>
      </c>
      <c r="N1639" s="2297"/>
      <c r="O1639" s="2224" t="s">
        <v>719</v>
      </c>
      <c r="P1639" s="2230">
        <f>'Part VIII-Threshold Criteria'!P399</f>
        <v>0</v>
      </c>
      <c r="Q1639" s="2164"/>
    </row>
    <row r="1640" spans="1:31" s="1852" customFormat="1" ht="11.25" customHeight="1">
      <c r="B1640" s="2170" t="s">
        <v>3371</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This section is 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f>'Part VIII-Threshold Criteria'!P406</f>
        <v>0</v>
      </c>
      <c r="Q1646" s="2164"/>
    </row>
    <row r="1647" spans="1:31" s="1852" customFormat="1" ht="12" customHeight="1">
      <c r="A1647" s="2255" t="s">
        <v>1895</v>
      </c>
      <c r="B1647" s="435" t="s">
        <v>3263</v>
      </c>
      <c r="D1647" s="2223"/>
      <c r="E1647" s="2223"/>
      <c r="O1647" s="2255" t="s">
        <v>1895</v>
      </c>
      <c r="P1647" s="2230">
        <f>'Part VIII-Threshold Criteria'!P407</f>
        <v>0</v>
      </c>
      <c r="Q1647" s="2164"/>
    </row>
    <row r="1648" spans="1:31" s="1852" customFormat="1" ht="12" customHeight="1">
      <c r="A1648" s="2255" t="s">
        <v>719</v>
      </c>
      <c r="B1648" s="435" t="s">
        <v>4235</v>
      </c>
      <c r="D1648" s="2223"/>
      <c r="E1648" s="2223"/>
      <c r="O1648" s="2255" t="s">
        <v>719</v>
      </c>
      <c r="P1648" s="2230">
        <f>'Part VIII-Threshold Criteria'!P408</f>
        <v>0</v>
      </c>
      <c r="Q1648" s="2164"/>
    </row>
    <row r="1649" spans="1:31" s="1852" customFormat="1" ht="12" customHeight="1">
      <c r="A1649" s="2255" t="s">
        <v>2021</v>
      </c>
      <c r="B1649" s="435" t="s">
        <v>3264</v>
      </c>
      <c r="E1649" s="2223"/>
      <c r="O1649" s="2255" t="s">
        <v>2021</v>
      </c>
      <c r="P1649" s="2230">
        <f>'Part VIII-Threshold Criteria'!P409</f>
        <v>0</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3371</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 Legal Opinions were required</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4137</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6546</v>
      </c>
      <c r="O1657" s="2255"/>
      <c r="P1657" s="2230">
        <f>'Part VIII-Threshold Criteria'!P417</f>
        <v>0</v>
      </c>
      <c r="Q1657" s="2164"/>
    </row>
    <row r="1658" spans="1:31" s="1852" customFormat="1" ht="12" customHeight="1">
      <c r="A1658" s="2255" t="s">
        <v>1893</v>
      </c>
      <c r="B1658" s="435" t="s">
        <v>4136</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4236</v>
      </c>
      <c r="D1660" s="2112" t="s">
        <v>4237</v>
      </c>
      <c r="E1660" s="1818"/>
      <c r="F1660" s="1818"/>
      <c r="G1660" s="1818"/>
      <c r="H1660" s="1818"/>
      <c r="I1660" s="1818"/>
      <c r="J1660" s="1818"/>
      <c r="K1660" s="1818"/>
      <c r="L1660" s="1818"/>
      <c r="M1660" s="1818"/>
      <c r="N1660" s="1818"/>
      <c r="O1660" s="2255" t="s">
        <v>4236</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4140</v>
      </c>
      <c r="D1663" s="435" t="s">
        <v>3260</v>
      </c>
      <c r="E1663" s="435"/>
      <c r="F1663" s="435"/>
      <c r="G1663" s="435"/>
      <c r="H1663" s="435"/>
      <c r="I1663" s="435"/>
      <c r="J1663" s="435"/>
      <c r="K1663" s="435"/>
      <c r="L1663" s="435"/>
      <c r="M1663" s="435"/>
      <c r="N1663" s="1818"/>
      <c r="O1663" s="2255" t="s">
        <v>2326</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2416</v>
      </c>
      <c r="C1665" s="2223" t="s">
        <v>6401</v>
      </c>
      <c r="D1665" s="2223"/>
      <c r="E1665" s="2223"/>
      <c r="F1665" s="2223"/>
      <c r="G1665" s="435" t="s">
        <v>4141</v>
      </c>
      <c r="J1665" s="2137">
        <f>'Part VIII-Threshold Criteria'!J425</f>
        <v>0</v>
      </c>
      <c r="K1665" s="2117"/>
      <c r="M1665" s="435" t="s">
        <v>6493</v>
      </c>
      <c r="P1665" s="2137">
        <f>'Part VIII-Threshold Criteria'!P425</f>
        <v>0</v>
      </c>
      <c r="Q1665" s="2117"/>
    </row>
    <row r="1666" spans="1:44" s="1852" customFormat="1" ht="12" customHeight="1">
      <c r="A1666" s="2255"/>
      <c r="C1666" s="2223"/>
      <c r="D1666" s="2223"/>
      <c r="E1666" s="2223"/>
      <c r="F1666" s="2223"/>
      <c r="G1666" s="435" t="s">
        <v>6492</v>
      </c>
      <c r="J1666" s="2137">
        <f>'Part VIII-Threshold Criteria'!J426</f>
        <v>0</v>
      </c>
      <c r="K1666" s="2117"/>
      <c r="M1666" s="435" t="s">
        <v>6494</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6435</v>
      </c>
      <c r="J1668" s="2112" t="s">
        <v>6436</v>
      </c>
      <c r="K1668" s="2112" t="s">
        <v>6438</v>
      </c>
      <c r="L1668" s="2112"/>
      <c r="M1668" s="2112"/>
      <c r="N1668" s="2112" t="s">
        <v>6437</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6600</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2328</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6439</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6601</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2344</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4010</v>
      </c>
      <c r="E1679" s="2121"/>
      <c r="F1679" s="2121"/>
      <c r="G1679" s="2121"/>
      <c r="J1679" s="1818"/>
      <c r="K1679" s="2121"/>
      <c r="L1679" s="2121"/>
      <c r="M1679" s="1818"/>
      <c r="N1679" s="2255"/>
      <c r="P1679" s="2255"/>
      <c r="Q1679" s="2255"/>
    </row>
    <row r="1680" spans="1:44" s="1852" customFormat="1" ht="12" customHeight="1">
      <c r="A1680" s="2255"/>
      <c r="B1680" s="2112"/>
      <c r="C1680" s="2121" t="s">
        <v>6496</v>
      </c>
      <c r="E1680" s="2121"/>
      <c r="F1680" s="2121"/>
      <c r="L1680" s="2121"/>
      <c r="M1680" s="2121"/>
      <c r="O1680" s="2255" t="s">
        <v>2324</v>
      </c>
      <c r="P1680" s="2230" t="str">
        <f>'Part VIII-Threshold Criteria'!P440</f>
        <v>&lt;&lt;Select&gt;&gt;</v>
      </c>
      <c r="Q1680" s="2164"/>
    </row>
    <row r="1681" spans="1:31" s="1852" customFormat="1" ht="12" customHeight="1">
      <c r="A1681" s="1818"/>
      <c r="D1681" s="2112" t="s">
        <v>6497</v>
      </c>
      <c r="E1681" s="2270" t="s">
        <v>2347</v>
      </c>
      <c r="F1681" s="2112" t="s">
        <v>3425</v>
      </c>
      <c r="G1681" s="2111">
        <f>'Part VIII-Threshold Criteria'!G441</f>
        <v>0</v>
      </c>
      <c r="H1681" s="2111"/>
      <c r="I1681" s="2111"/>
      <c r="J1681" s="2111"/>
      <c r="K1681" s="2111"/>
      <c r="L1681" s="2270"/>
    </row>
    <row r="1682" spans="1:31" s="1852" customFormat="1" ht="12" customHeight="1">
      <c r="D1682" s="2112"/>
      <c r="E1682" s="2270" t="s">
        <v>4138</v>
      </c>
      <c r="F1682" s="2112" t="s">
        <v>4139</v>
      </c>
      <c r="G1682" s="2111" t="str">
        <f>'Part VIII-Threshold Criteria'!G442</f>
        <v>&lt;&lt; Select &gt;&gt;</v>
      </c>
      <c r="H1682" s="2111"/>
      <c r="I1682" s="2111"/>
      <c r="J1682" s="2112" t="s">
        <v>3965</v>
      </c>
      <c r="M1682" s="2111">
        <f>'Part VIII-Threshold Criteria'!M442</f>
        <v>0</v>
      </c>
      <c r="N1682" s="2111"/>
      <c r="O1682" s="2111"/>
      <c r="P1682" s="2111"/>
      <c r="Q1682" s="2111"/>
    </row>
    <row r="1683" spans="1:31" s="1852" customFormat="1" ht="12" customHeight="1">
      <c r="A1683" s="1818"/>
      <c r="C1683" s="2112" t="s">
        <v>6495</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4238</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4142</v>
      </c>
      <c r="C1687" s="2228"/>
      <c r="D1687" s="2228"/>
      <c r="E1687" s="2228"/>
      <c r="F1687" s="2228"/>
      <c r="G1687" s="2228"/>
      <c r="H1687" s="2228"/>
      <c r="I1687" s="2228"/>
      <c r="J1687" s="2228"/>
      <c r="K1687" s="2228"/>
      <c r="L1687" s="2228"/>
      <c r="M1687" s="2228"/>
      <c r="N1687" s="2228"/>
    </row>
    <row r="1688" spans="1:31" s="1852" customFormat="1" ht="48" customHeight="1">
      <c r="B1688" s="2223" t="s">
        <v>7136</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3371</v>
      </c>
      <c r="D1689" s="2170"/>
      <c r="E1689" s="2170"/>
      <c r="F1689" s="2170"/>
      <c r="G1689" s="2170"/>
      <c r="H1689" s="2121"/>
      <c r="I1689" s="2164"/>
      <c r="J1689" s="2164"/>
      <c r="K1689" s="2164"/>
    </row>
    <row r="1690" spans="1:31" s="1852" customFormat="1" ht="33.6" customHeight="1">
      <c r="A1690" s="2226" t="str">
        <f>'Part VIII-Threshold Criteria'!A450</f>
        <v xml:space="preserve">The site is currently wooded land, no displacement will occur. </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2619</v>
      </c>
      <c r="C1694" s="1818"/>
      <c r="D1694" s="435"/>
      <c r="E1694" s="2228"/>
      <c r="F1694" s="2228"/>
      <c r="G1694" s="2228"/>
      <c r="H1694" s="2228"/>
      <c r="O1694" s="2224" t="s">
        <v>1781</v>
      </c>
      <c r="P1694" s="1719"/>
      <c r="Q1694" s="1719"/>
    </row>
    <row r="1695" spans="1:31" s="1852" customFormat="1" ht="14.1" customHeight="1">
      <c r="B1695" s="435" t="s">
        <v>4082</v>
      </c>
      <c r="C1695" s="1818"/>
      <c r="D1695" s="435"/>
      <c r="E1695" s="2228"/>
      <c r="F1695" s="2228"/>
      <c r="G1695" s="2228"/>
      <c r="H1695" s="2228"/>
    </row>
    <row r="1696" spans="1:31" s="2158" customFormat="1" ht="21.75" customHeight="1">
      <c r="A1696" s="2224" t="s">
        <v>1893</v>
      </c>
      <c r="B1696" s="2223" t="s">
        <v>3455</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3454</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4048</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4049</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4050</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4051</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4109</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4110</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4153</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3371</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The applicant agrees to submit a marketing plan for AFFH</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3371</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development represents a proper utilization of the Housing Credit Program to provide high quality units within an area that has a need for affordable housing.</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2021-041 Hunters Haven,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7137</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65.5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6316</v>
      </c>
      <c r="B1727" s="2304"/>
      <c r="C1727" s="2304"/>
      <c r="D1727" s="435" t="s">
        <v>6317</v>
      </c>
      <c r="E1727" s="435"/>
      <c r="F1727" s="435"/>
      <c r="G1727" s="435"/>
      <c r="H1727" s="435"/>
      <c r="I1727" s="435"/>
      <c r="J1727" s="435"/>
      <c r="K1727" s="435"/>
      <c r="L1727" s="435"/>
      <c r="M1727" s="435"/>
      <c r="O1727" s="2122">
        <f>'Part IX Scoring Criteria'!O8</f>
        <v>0</v>
      </c>
      <c r="P1727" s="2110"/>
      <c r="Q1727" s="435" t="s">
        <v>7138</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7064</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6368</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6369</v>
      </c>
      <c r="D1733" s="435"/>
      <c r="E1733" s="435"/>
      <c r="F1733" s="435"/>
      <c r="G1733" s="2156"/>
      <c r="H1733" s="1864" t="s">
        <v>7139</v>
      </c>
      <c r="I1733" s="2156"/>
      <c r="J1733" s="2156"/>
      <c r="K1733" s="2156"/>
      <c r="L1733" s="2156"/>
      <c r="M1733" s="2305" t="s">
        <v>7140</v>
      </c>
      <c r="N1733" s="2156"/>
      <c r="O1733" s="2122">
        <f>'Part IX Scoring Criteria'!O14</f>
        <v>0</v>
      </c>
      <c r="P1733" s="2108">
        <f>IF(P1735&lt;2,0,IF(AND(P1735&gt;1,P1735&lt;5),1,IF(P1735&gt;4,P1735-3)))</f>
        <v>0</v>
      </c>
      <c r="Q1733" s="435" t="s">
        <v>7138</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6827</v>
      </c>
      <c r="G1735" s="1967"/>
      <c r="H1735" s="1967"/>
      <c r="I1735" s="1967"/>
      <c r="J1735" s="1967"/>
      <c r="K1735" s="1967"/>
      <c r="L1735" s="1967"/>
      <c r="M1735" s="1967"/>
      <c r="N1735" s="1967"/>
      <c r="O1735" s="2305" t="s">
        <v>3973</v>
      </c>
      <c r="P1735" s="2164">
        <f>SUM(P1736:P1748)</f>
        <v>0</v>
      </c>
      <c r="Q1735" s="435" t="s">
        <v>7141</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 xml:space="preserve">The development has twelve (12) desirable activities within 1.5 miles from the site entrance (per Google Maps). Seven (7) of these activities are within .5 miles walking distance from the proposed site entrance. </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4242</v>
      </c>
      <c r="C1737" s="1905"/>
      <c r="D1737" s="1905"/>
      <c r="E1737" s="2308">
        <f>'Part IX Scoring Criteria'!E18</f>
        <v>3</v>
      </c>
      <c r="F1737" s="2229" t="str">
        <f>'Part IX Scoring Criteria'!F18</f>
        <v>The development is located within a .25 mile walking distance to an established transit stop that runs Monday-Friday 8 AM to 5 PM. The stop is labled as "Walmart East 84" on the red line, which has 8 stops per day. This service is publized for the general public, and is therefore available to all residents. The Liberty Transit link above links to the electronic flyer that shows all schedules and routes for all of the Liberty Transit's routes.</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1.5</v>
      </c>
      <c r="F1738" s="2229" t="str">
        <f>'Part IX Scoring Criteria'!F19</f>
        <v>The development has 3 grades above the CCRPI average which would qualify for 1 point, but also has a total of 8 grades with BTO designation since 2018 which qualifiies for a final score of 1.5 points.</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0</v>
      </c>
      <c r="F1739" s="2229" t="str">
        <f>'Part IX Scoring Criteria'!F20</f>
        <v>NA</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NA</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4243</v>
      </c>
      <c r="C1741" s="1905"/>
      <c r="D1741" s="1905"/>
      <c r="E1741" s="2308">
        <f>'Part IX Scoring Criteria'!E22</f>
        <v>5</v>
      </c>
      <c r="F1741" s="2229" t="str">
        <f>'Part IX Scoring Criteria'!F22</f>
        <v xml:space="preserve">The development's census tract, 103.00, is below the 15% povery level for Metro sites which qualifies for 3 poitnts. Additionally, both Life Expectancy and Health Insurance Rates are above the 60th percentile which qualifies for an additional 2 points. </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4245</v>
      </c>
      <c r="B1742" s="1905" t="s">
        <v>3395</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4257</v>
      </c>
      <c r="B1743" s="1905" t="s">
        <v>4246</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6531</v>
      </c>
      <c r="B1744" s="1905" t="s">
        <v>4247</v>
      </c>
      <c r="C1744" s="1905"/>
      <c r="D1744" s="1905"/>
      <c r="E1744" s="2308">
        <f>'Part IX Scoring Criteria'!E25</f>
        <v>5</v>
      </c>
      <c r="F1744" s="2229" t="str">
        <f>'Part IX Scoring Criteria'!F25</f>
        <v xml:space="preserve">Per the DCA Interactive Map of previous awards provided in tab #35, no 9% awards have taken place in the past 15 years within The City of Flemington. </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2</v>
      </c>
      <c r="F1745" s="2229" t="str">
        <f>'Part IX Scoring Criteria'!F26</f>
        <v xml:space="preserve">Project received a GICH letter from Libery County GICH's chairman, Georgia Holliday. We also received a letter of supprt from the Mayor of Flemmington. Both letters are provided within the application. </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0</v>
      </c>
      <c r="F1746" s="2229" t="str">
        <f>'Part IX Scoring Criteria'!F27</f>
        <v>NA</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6362</v>
      </c>
      <c r="C1748" s="1905"/>
      <c r="D1748" s="1905"/>
      <c r="E1748" s="2308">
        <f>'Part IX Scoring Criteria'!E29</f>
        <v>2</v>
      </c>
      <c r="F1748" s="2229" t="str">
        <f>'Part IX Scoring Criteria'!F29</f>
        <v xml:space="preserve">The development commits to signing an annual MOU with DCA. The project's management company will help faciliate this MOU with DCA. The project is a Family project, and contains the required 20% of units to set aside per the requirements of this section. The application includes a completed DCA Housing Assistance Competitive Ranking form with supporting documentation demonstrating why this development fits the criteria for these points. </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6370</v>
      </c>
      <c r="C1750" s="2284"/>
      <c r="D1750" s="2114"/>
      <c r="E1750" s="2114"/>
      <c r="F1750" s="2114"/>
      <c r="G1750" s="2159" t="s">
        <v>6354</v>
      </c>
      <c r="H1750" s="2159"/>
      <c r="I1750" s="2159" t="s">
        <v>932</v>
      </c>
      <c r="J1750" s="2159"/>
      <c r="K1750" s="2310" t="s">
        <v>6355</v>
      </c>
      <c r="L1750" s="1973"/>
      <c r="M1750" s="1967" t="s">
        <v>6371</v>
      </c>
      <c r="N1750" s="1967"/>
      <c r="O1750" s="1967"/>
      <c r="P1750" s="1967"/>
      <c r="Q1750" s="1967"/>
      <c r="R1750" s="2311"/>
      <c r="S1750" s="2312" t="s">
        <v>6370</v>
      </c>
      <c r="T1750" s="2311"/>
      <c r="U1750" s="2311"/>
      <c r="V1750" s="2311"/>
      <c r="W1750" s="1754"/>
      <c r="X1750" s="4751" t="s">
        <v>6354</v>
      </c>
      <c r="Y1750" s="4752"/>
      <c r="Z1750" s="4751" t="s">
        <v>932</v>
      </c>
      <c r="AA1750" s="4752"/>
      <c r="AB1750" s="2313" t="s">
        <v>6355</v>
      </c>
      <c r="AC1750" s="4751" t="s">
        <v>6354</v>
      </c>
      <c r="AD1750" s="4752"/>
      <c r="AE1750" s="4751" t="s">
        <v>932</v>
      </c>
      <c r="AF1750" s="4752"/>
      <c r="AG1750" s="2313" t="s">
        <v>6355</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6356</v>
      </c>
      <c r="C1752" s="1967"/>
      <c r="D1752" s="2112"/>
      <c r="E1752" s="2112"/>
      <c r="F1752" s="2112"/>
      <c r="G1752" s="2145">
        <v>10</v>
      </c>
      <c r="H1752" s="2145"/>
      <c r="I1752" s="2145">
        <v>10</v>
      </c>
      <c r="J1752" s="2145"/>
      <c r="K1752" s="2145">
        <v>10</v>
      </c>
      <c r="L1752" s="1973"/>
      <c r="M1752" s="1967" t="s">
        <v>6372</v>
      </c>
      <c r="N1752" s="1973"/>
      <c r="O1752" s="1973"/>
      <c r="P1752" s="2317" t="str">
        <f>'Part IX Scoring Criteria'!P33</f>
        <v>9%</v>
      </c>
      <c r="Q1752" s="1973"/>
      <c r="R1752" s="2318" t="s">
        <v>712</v>
      </c>
      <c r="S1752" s="2319" t="s">
        <v>6356</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6357</v>
      </c>
      <c r="C1753" s="1967"/>
      <c r="D1753" s="2112"/>
      <c r="E1753" s="2112"/>
      <c r="F1753" s="2112"/>
      <c r="G1753" s="2145">
        <v>3</v>
      </c>
      <c r="H1753" s="2145">
        <v>3</v>
      </c>
      <c r="I1753" s="2145">
        <v>3</v>
      </c>
      <c r="J1753" s="2145">
        <v>3</v>
      </c>
      <c r="K1753" s="2145"/>
      <c r="L1753" s="1973"/>
      <c r="M1753" s="1967" t="s">
        <v>6376</v>
      </c>
      <c r="N1753" s="1967"/>
      <c r="O1753" s="1967"/>
      <c r="P1753" s="1967"/>
      <c r="Q1753" s="1973"/>
      <c r="R1753" s="2318" t="s">
        <v>1711</v>
      </c>
      <c r="S1753" s="2328" t="s">
        <v>6357</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6380</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4242</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4242</v>
      </c>
      <c r="T1755" s="2329"/>
      <c r="U1755" s="2330"/>
      <c r="V1755" s="2330"/>
      <c r="W1755" s="2330"/>
      <c r="X1755" s="2336">
        <f>O1827</f>
        <v>3</v>
      </c>
      <c r="Y1755" s="2337">
        <f>O1827</f>
        <v>3</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6381</v>
      </c>
      <c r="N1756" s="1973"/>
      <c r="O1756" s="1973"/>
      <c r="P1756" s="2044" t="str">
        <f>'Part IX Scoring Criteria'!P37</f>
        <v>No</v>
      </c>
      <c r="Q1756" s="1973"/>
      <c r="R1756" s="2318" t="s">
        <v>742</v>
      </c>
      <c r="S1756" s="2328" t="s">
        <v>3485</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3547</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6536</v>
      </c>
      <c r="P1758" s="2164" t="str">
        <f>'Part III-Sources of Funds'!$L$14</f>
        <v>No</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4243</v>
      </c>
      <c r="C1759" s="1967"/>
      <c r="D1759" s="2112"/>
      <c r="E1759" s="2112"/>
      <c r="F1759" s="2112"/>
      <c r="G1759" s="2145">
        <v>10</v>
      </c>
      <c r="H1759" s="2145">
        <v>5</v>
      </c>
      <c r="I1759" s="2145"/>
      <c r="J1759" s="2145"/>
      <c r="K1759" s="2145"/>
      <c r="L1759" s="1973"/>
      <c r="M1759" s="1864" t="s">
        <v>6537</v>
      </c>
      <c r="N1759" s="1864"/>
      <c r="O1759" s="2114"/>
      <c r="P1759" s="2044" t="str">
        <f>'Part IX Scoring Criteria'!P40</f>
        <v>No</v>
      </c>
      <c r="Q1759" s="1973"/>
      <c r="R1759" s="2318" t="s">
        <v>346</v>
      </c>
      <c r="S1759" s="2328" t="s">
        <v>4243</v>
      </c>
      <c r="T1759" s="2329"/>
      <c r="U1759" s="2330"/>
      <c r="V1759" s="2330"/>
      <c r="W1759" s="2330"/>
      <c r="X1759" s="2331">
        <f>O1918</f>
        <v>5</v>
      </c>
      <c r="Y1759" s="2332">
        <f>O1918</f>
        <v>5</v>
      </c>
      <c r="Z1759" s="2338"/>
      <c r="AA1759" s="2339"/>
      <c r="AB1759" s="2333"/>
      <c r="AC1759" s="2334">
        <f>P1918</f>
        <v>0</v>
      </c>
      <c r="AD1759" s="2332">
        <f>P1918</f>
        <v>0</v>
      </c>
      <c r="AE1759" s="2338"/>
      <c r="AF1759" s="2339"/>
      <c r="AG1759" s="2335"/>
    </row>
    <row r="1760" spans="1:33" s="1852" customFormat="1" ht="10.5" customHeight="1">
      <c r="A1760" s="2029" t="s">
        <v>347</v>
      </c>
      <c r="B1760" s="2084" t="s">
        <v>6358</v>
      </c>
      <c r="C1760" s="1967"/>
      <c r="D1760" s="2112"/>
      <c r="E1760" s="2112"/>
      <c r="F1760" s="2112"/>
      <c r="G1760" s="2145">
        <v>1</v>
      </c>
      <c r="H1760" s="2145"/>
      <c r="I1760" s="2145"/>
      <c r="J1760" s="2145"/>
      <c r="K1760" s="2145"/>
      <c r="L1760" s="1973"/>
      <c r="Q1760" s="1973"/>
      <c r="R1760" s="2318" t="s">
        <v>347</v>
      </c>
      <c r="S1760" s="2328" t="s">
        <v>6358</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3395</v>
      </c>
      <c r="C1761" s="1967"/>
      <c r="D1761" s="2112"/>
      <c r="E1761" s="2112"/>
      <c r="F1761" s="2112"/>
      <c r="G1761" s="2145">
        <v>10</v>
      </c>
      <c r="H1761" s="2145">
        <v>5</v>
      </c>
      <c r="I1761" s="2145"/>
      <c r="J1761" s="2145"/>
      <c r="K1761" s="2145"/>
      <c r="L1761" s="1973"/>
      <c r="P1761" s="2029" t="s">
        <v>6544</v>
      </c>
      <c r="Q1761" s="1973"/>
      <c r="R1761" s="2318" t="s">
        <v>348</v>
      </c>
      <c r="S1761" s="2328" t="s">
        <v>3395</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6359</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6359</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4247</v>
      </c>
      <c r="C1763" s="1967"/>
      <c r="D1763" s="2112"/>
      <c r="E1763" s="2112"/>
      <c r="F1763" s="2112"/>
      <c r="G1763" s="2145">
        <v>5</v>
      </c>
      <c r="H1763" s="2145"/>
      <c r="I1763" s="2145"/>
      <c r="J1763" s="2145"/>
      <c r="K1763" s="2145"/>
      <c r="L1763" s="1973"/>
      <c r="P1763" s="2029" t="s">
        <v>3379</v>
      </c>
      <c r="Q1763" s="1973"/>
      <c r="R1763" s="2318" t="s">
        <v>3520</v>
      </c>
      <c r="S1763" s="2328" t="s">
        <v>4247</v>
      </c>
      <c r="T1763" s="2329"/>
      <c r="U1763" s="2330"/>
      <c r="V1763" s="2330"/>
      <c r="W1763" s="2330"/>
      <c r="X1763" s="2331">
        <f>O1966</f>
        <v>5</v>
      </c>
      <c r="Y1763" s="2339"/>
      <c r="Z1763" s="2338"/>
      <c r="AA1763" s="2339"/>
      <c r="AB1763" s="2333"/>
      <c r="AC1763" s="2334">
        <f>P1966</f>
        <v>0</v>
      </c>
      <c r="AD1763" s="2339"/>
      <c r="AE1763" s="2338"/>
      <c r="AF1763" s="2339"/>
      <c r="AG1763" s="2335"/>
    </row>
    <row r="1764" spans="1:33" s="1852" customFormat="1" ht="10.5" customHeight="1">
      <c r="A1764" s="2029" t="s">
        <v>2149</v>
      </c>
      <c r="B1764" s="2084" t="s">
        <v>3967</v>
      </c>
      <c r="C1764" s="1967"/>
      <c r="D1764" s="2112"/>
      <c r="E1764" s="2112"/>
      <c r="F1764" s="2112"/>
      <c r="G1764" s="2145">
        <v>4</v>
      </c>
      <c r="H1764" s="2145">
        <v>4</v>
      </c>
      <c r="I1764" s="2145">
        <v>4</v>
      </c>
      <c r="J1764" s="2145">
        <v>4</v>
      </c>
      <c r="K1764" s="2145">
        <v>4</v>
      </c>
      <c r="L1764" s="2342"/>
      <c r="M1764" s="1967" t="s">
        <v>7142</v>
      </c>
      <c r="N1764" s="1973"/>
      <c r="P1764" s="2343">
        <f>'Part IX Scoring Criteria'!P45</f>
        <v>72</v>
      </c>
      <c r="R1764" s="2318" t="s">
        <v>2149</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6360</v>
      </c>
      <c r="C1765" s="1967"/>
      <c r="D1765" s="2112"/>
      <c r="E1765" s="2112"/>
      <c r="F1765" s="2112"/>
      <c r="G1765" s="2145">
        <v>2</v>
      </c>
      <c r="H1765" s="2145"/>
      <c r="I1765" s="2145">
        <v>2</v>
      </c>
      <c r="J1765" s="2145"/>
      <c r="K1765" s="2145"/>
      <c r="L1765" s="1973"/>
      <c r="M1765" s="1967" t="s">
        <v>6575</v>
      </c>
      <c r="N1765" s="1875"/>
      <c r="O1765" s="1875"/>
      <c r="P1765" s="2343">
        <f>'Part IX Scoring Criteria'!P46</f>
        <v>0</v>
      </c>
      <c r="Q1765" s="1973"/>
      <c r="R1765" s="2318" t="s">
        <v>3520</v>
      </c>
      <c r="S1765" s="2328" t="s">
        <v>6360</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7065</v>
      </c>
      <c r="N1766" s="2127"/>
      <c r="O1766" s="2127"/>
      <c r="P1766" s="2127"/>
      <c r="Q1766" s="458"/>
      <c r="R1766" s="2318" t="s">
        <v>3521</v>
      </c>
      <c r="S1766" s="2328" t="s">
        <v>3549</v>
      </c>
      <c r="T1766" s="2329"/>
      <c r="U1766" s="2330"/>
      <c r="V1766" s="2330"/>
      <c r="W1766" s="2330"/>
      <c r="X1766" s="2331">
        <f>O2005</f>
        <v>2</v>
      </c>
      <c r="Y1766" s="2339"/>
      <c r="Z1766" s="2331">
        <f>O2005</f>
        <v>2</v>
      </c>
      <c r="AA1766" s="2339"/>
      <c r="AB1766" s="2344">
        <f>O2005</f>
        <v>2</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3523</v>
      </c>
      <c r="B1769" s="2084" t="s">
        <v>6361</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6361</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6362</v>
      </c>
      <c r="C1770" s="1967"/>
      <c r="D1770" s="2112"/>
      <c r="E1770" s="2112"/>
      <c r="F1770" s="2112"/>
      <c r="G1770" s="2145">
        <v>2</v>
      </c>
      <c r="H1770" s="2145"/>
      <c r="I1770" s="2145">
        <v>2</v>
      </c>
      <c r="J1770" s="2145"/>
      <c r="K1770" s="2145"/>
      <c r="L1770" s="1973"/>
      <c r="M1770" s="2127"/>
      <c r="N1770" s="2127"/>
      <c r="O1770" s="2127"/>
      <c r="P1770" s="2127"/>
      <c r="R1770" s="2318" t="s">
        <v>3526</v>
      </c>
      <c r="S1770" s="2328" t="s">
        <v>6362</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3527</v>
      </c>
      <c r="B1771" s="2084" t="s">
        <v>6363</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6363</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6364</v>
      </c>
      <c r="C1772" s="1967"/>
      <c r="D1772" s="2112"/>
      <c r="E1772" s="2112"/>
      <c r="F1772" s="2112"/>
      <c r="G1772" s="2145"/>
      <c r="H1772" s="2145"/>
      <c r="I1772" s="2145">
        <v>6</v>
      </c>
      <c r="J1772" s="2145"/>
      <c r="K1772" s="2145"/>
      <c r="L1772" s="1973"/>
      <c r="M1772" s="2070" t="str">
        <f>'Part IX Scoring Criteria'!M53</f>
        <v>Select Tie Breaker Choice here</v>
      </c>
      <c r="N1772" s="2070"/>
      <c r="O1772" s="2070"/>
      <c r="P1772" s="2070"/>
      <c r="Q1772" s="1973"/>
      <c r="R1772" s="2318" t="s">
        <v>3528</v>
      </c>
      <c r="S1772" s="2328" t="s">
        <v>6364</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6365</v>
      </c>
      <c r="C1773" s="1967"/>
      <c r="D1773" s="2112"/>
      <c r="E1773" s="2112"/>
      <c r="F1773" s="2112"/>
      <c r="G1773" s="2145"/>
      <c r="H1773" s="2145"/>
      <c r="I1773" s="2145"/>
      <c r="J1773" s="2145">
        <v>4</v>
      </c>
      <c r="K1773" s="2145"/>
      <c r="L1773" s="1973"/>
      <c r="Q1773" s="1973"/>
      <c r="R1773" s="2318" t="s">
        <v>3529</v>
      </c>
      <c r="S1773" s="2328" t="s">
        <v>6365</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6366</v>
      </c>
      <c r="C1774" s="1967"/>
      <c r="D1774" s="2112"/>
      <c r="E1774" s="2112"/>
      <c r="F1774" s="2112"/>
      <c r="G1774" s="2145"/>
      <c r="H1774" s="2145"/>
      <c r="I1774" s="2145">
        <v>2</v>
      </c>
      <c r="J1774" s="2145"/>
      <c r="K1774" s="2145">
        <v>2</v>
      </c>
      <c r="L1774" s="1973"/>
      <c r="M1774" s="1967" t="s">
        <v>6373</v>
      </c>
      <c r="N1774" s="1967"/>
      <c r="O1774" s="1967"/>
      <c r="P1774" s="1967"/>
      <c r="Q1774" s="1973"/>
      <c r="R1774" s="2318" t="s">
        <v>3530</v>
      </c>
      <c r="S1774" s="2328" t="s">
        <v>6366</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6367</v>
      </c>
      <c r="C1775" s="1967"/>
      <c r="D1775" s="2112"/>
      <c r="E1775" s="2112"/>
      <c r="F1775" s="2112"/>
      <c r="G1775" s="2145"/>
      <c r="H1775" s="2145">
        <v>16</v>
      </c>
      <c r="I1775" s="2145"/>
      <c r="J1775" s="2145">
        <v>16</v>
      </c>
      <c r="K1775" s="2145"/>
      <c r="L1775" s="1973"/>
      <c r="M1775" s="1864" t="str">
        <f>'Part I-Project Information'!$H$105</f>
        <v>Other Metro</v>
      </c>
      <c r="N1775" s="1864"/>
      <c r="O1775" s="1864"/>
      <c r="P1775" s="1864"/>
      <c r="Q1775" s="1973"/>
      <c r="R1775" s="2318" t="s">
        <v>3531</v>
      </c>
      <c r="S1775" s="2346" t="s">
        <v>6367</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6532</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65.5</v>
      </c>
      <c r="Y1777" s="2356">
        <f t="shared" ref="Y1777:AB1777" si="384">SUM(Y1752:Y1775)</f>
        <v>45.5</v>
      </c>
      <c r="Z1777" s="2356">
        <f t="shared" si="384"/>
        <v>30</v>
      </c>
      <c r="AA1777" s="2356">
        <f t="shared" si="384"/>
        <v>16</v>
      </c>
      <c r="AB1777" s="2356">
        <f t="shared" si="384"/>
        <v>26</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7143</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3968</v>
      </c>
      <c r="D1780" s="1719"/>
      <c r="E1780" s="1719"/>
      <c r="F1780" s="2164"/>
      <c r="N1780" s="2255" t="s">
        <v>1893</v>
      </c>
      <c r="P1780" s="2172">
        <f>SUM(P1781:P1783)</f>
        <v>0</v>
      </c>
      <c r="Q1780" s="435" t="s">
        <v>7144</v>
      </c>
    </row>
    <row r="1781" spans="1:33" s="2274" customFormat="1" ht="12.75" customHeight="1">
      <c r="A1781" s="2141"/>
      <c r="B1781" s="2358" t="s">
        <v>1896</v>
      </c>
      <c r="C1781" s="1719" t="s">
        <v>3971</v>
      </c>
      <c r="D1781" s="1719"/>
      <c r="E1781" s="1719"/>
      <c r="F1781" s="2164"/>
      <c r="H1781" s="1864" t="s">
        <v>3297</v>
      </c>
      <c r="J1781" s="2156"/>
      <c r="N1781" s="2359" t="s">
        <v>1896</v>
      </c>
      <c r="P1781" s="2172">
        <f>F1789</f>
        <v>0</v>
      </c>
    </row>
    <row r="1782" spans="1:33" s="2274" customFormat="1" ht="12.75" customHeight="1">
      <c r="A1782" s="2141"/>
      <c r="B1782" s="2358" t="s">
        <v>1898</v>
      </c>
      <c r="C1782" s="1719" t="s">
        <v>7145</v>
      </c>
      <c r="D1782" s="1719"/>
      <c r="E1782" s="1719"/>
      <c r="F1782" s="2164"/>
      <c r="H1782" s="1864" t="s">
        <v>3969</v>
      </c>
      <c r="J1782" s="2156"/>
      <c r="N1782" s="2359" t="s">
        <v>1898</v>
      </c>
      <c r="P1782" s="2172">
        <f>J1789</f>
        <v>0</v>
      </c>
    </row>
    <row r="1783" spans="1:33" s="2274" customFormat="1" ht="12.75" customHeight="1">
      <c r="A1783" s="2141"/>
      <c r="B1783" s="2358" t="s">
        <v>2416</v>
      </c>
      <c r="C1783" s="1719" t="s">
        <v>3970</v>
      </c>
      <c r="D1783" s="1719"/>
      <c r="E1783" s="1719"/>
      <c r="F1783" s="2164"/>
      <c r="H1783" s="1864" t="s">
        <v>3974</v>
      </c>
      <c r="J1783" s="2156"/>
      <c r="N1783" s="2359" t="s">
        <v>2416</v>
      </c>
      <c r="P1783" s="2122"/>
    </row>
    <row r="1784" spans="1:33" s="2274" customFormat="1" ht="12.75" customHeight="1">
      <c r="C1784" s="1905" t="s">
        <v>7066</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7146</v>
      </c>
      <c r="J1786" s="2156"/>
      <c r="M1786" s="2108"/>
      <c r="N1786" s="2255" t="s">
        <v>1895</v>
      </c>
      <c r="P1786" s="2172">
        <f>O1789</f>
        <v>0</v>
      </c>
      <c r="Q1786" s="435" t="s">
        <v>7144</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7067</v>
      </c>
      <c r="B1788" s="1875"/>
      <c r="C1788" s="1875"/>
      <c r="D1788" s="1875"/>
      <c r="E1788" s="1875"/>
      <c r="F1788" s="2044" t="s">
        <v>3543</v>
      </c>
      <c r="G1788" s="435" t="s">
        <v>7068</v>
      </c>
      <c r="H1788" s="435"/>
      <c r="I1788" s="435"/>
      <c r="J1788" s="2044" t="s">
        <v>3543</v>
      </c>
      <c r="K1788" s="2112" t="s">
        <v>7069</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7147</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3265</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3266</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3267</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3268</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3269</v>
      </c>
      <c r="E1803" s="435"/>
      <c r="G1803" s="435"/>
      <c r="I1803" s="1864" t="s">
        <v>6542</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1893</v>
      </c>
      <c r="B1805" s="2115" t="s">
        <v>7148</v>
      </c>
      <c r="E1805" s="435"/>
      <c r="G1805" s="2112"/>
      <c r="H1805" s="2112" t="s">
        <v>4066</v>
      </c>
      <c r="I1805" s="2367" t="str">
        <f>'Part I-Project Information'!$K$94</f>
        <v>40% of Units at 60% of AMI</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3976</v>
      </c>
      <c r="D1808" s="435"/>
      <c r="H1808" s="435" t="s">
        <v>3977</v>
      </c>
      <c r="I1808" s="1864"/>
      <c r="J1808" s="2370">
        <f>'Part VI-Revenues &amp; Expenses'!B1721</f>
        <v>0</v>
      </c>
      <c r="L1808" s="1875" t="str">
        <f>IF(AND(O1808&gt;0,O1809&gt;0), "CHOOSE EITHER A OR B, NOT BOTH!", "")</f>
        <v/>
      </c>
      <c r="M1808" s="2117">
        <v>2</v>
      </c>
      <c r="N1808" s="2360" t="s">
        <v>1896</v>
      </c>
      <c r="O1808" s="2371">
        <f>'Part IX Scoring Criteria'!O89</f>
        <v>0</v>
      </c>
      <c r="P1808" s="2192"/>
      <c r="Q1808" s="2282" t="str">
        <f>IF(OR($O1808=$M1808,$O1808=0,$O1808=""),"","*CHECK!*")</f>
        <v/>
      </c>
      <c r="R1808" s="1858" t="s">
        <v>4265</v>
      </c>
    </row>
    <row r="1809" spans="1:18" s="2284" customFormat="1" ht="13.5" customHeight="1">
      <c r="A1809" s="2255" t="s">
        <v>3104</v>
      </c>
      <c r="B1809" s="2368" t="s">
        <v>1898</v>
      </c>
      <c r="C1809" s="2369" t="s">
        <v>3978</v>
      </c>
      <c r="D1809" s="435"/>
      <c r="I1809" s="1864"/>
      <c r="K1809" s="435"/>
      <c r="L1809" s="1875"/>
      <c r="M1809" s="2117">
        <v>2</v>
      </c>
      <c r="N1809" s="2360" t="s">
        <v>1898</v>
      </c>
      <c r="O1809" s="2371">
        <f>'Part IX Scoring Criteria'!O90</f>
        <v>2</v>
      </c>
      <c r="P1809" s="2192"/>
      <c r="Q1809" s="2282" t="str">
        <f>IF(OR($O1809=$M1809,$O1809=0,$O1809=""),"","*CHECK!*")</f>
        <v/>
      </c>
      <c r="R1809" s="1858" t="s">
        <v>4265</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7149</v>
      </c>
      <c r="E1811" s="2112"/>
      <c r="H1811" s="1864" t="s">
        <v>3979</v>
      </c>
      <c r="I1811" s="1864"/>
      <c r="J1811" s="2372" t="s">
        <v>3980</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3299</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3468</v>
      </c>
      <c r="E1813" s="2378"/>
      <c r="F1813" s="2290"/>
      <c r="I1813" s="2302"/>
      <c r="J1813" s="2302"/>
      <c r="K1813" s="2302"/>
      <c r="L1813" s="2302"/>
      <c r="M1813" s="2302"/>
      <c r="N1813" s="2359" t="s">
        <v>1898</v>
      </c>
      <c r="O1813" s="2230">
        <f>'Part IX Scoring Criteria'!O94</f>
        <v>0</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3384</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3421</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7150</v>
      </c>
      <c r="J1820" s="1864"/>
      <c r="K1820" s="1864"/>
      <c r="L1820" s="1864"/>
      <c r="M1820" s="2108">
        <v>20</v>
      </c>
      <c r="N1820" s="2360" t="s">
        <v>1893</v>
      </c>
      <c r="O1820" s="2380">
        <f>'Part IX Scoring Criteria'!O101</f>
        <v>20</v>
      </c>
      <c r="P1820" s="2303"/>
      <c r="Q1820" s="2282"/>
      <c r="R1820" s="1858" t="s">
        <v>4265</v>
      </c>
    </row>
    <row r="1821" spans="1:18" s="2284" customFormat="1" ht="12.75" customHeight="1">
      <c r="A1821" s="2141" t="s">
        <v>1895</v>
      </c>
      <c r="B1821" s="1719" t="s">
        <v>3415</v>
      </c>
      <c r="D1821" s="2381"/>
      <c r="F1821" s="2003"/>
      <c r="H1821" s="2009" t="s">
        <v>3484</v>
      </c>
      <c r="I1821" s="1864"/>
      <c r="J1821" s="1864"/>
      <c r="K1821" s="1864"/>
      <c r="L1821" s="1864"/>
      <c r="M1821" s="2164" t="s">
        <v>1192</v>
      </c>
      <c r="N1821" s="2255" t="s">
        <v>1895</v>
      </c>
      <c r="O1821" s="2380">
        <f>'Part IX Scoring Criteria'!O102</f>
        <v>0</v>
      </c>
      <c r="P1821" s="2303"/>
      <c r="R1821" s="1858" t="s">
        <v>4265</v>
      </c>
    </row>
    <row r="1822" spans="1:18" s="2274" customFormat="1" ht="12.75" customHeight="1">
      <c r="A1822" s="1818"/>
      <c r="B1822" s="2156" t="s">
        <v>3372</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 xml:space="preserve">The development has twelve (12) desirable activities within 1.5 miles from the site entrance (per Google Maps). Seven (7) of these activities are within .5 miles walking distance from the proposed site entrance. </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6382</v>
      </c>
      <c r="I1827" s="1912" t="s">
        <v>6373</v>
      </c>
      <c r="J1827" s="2044">
        <f>$M$56</f>
        <v>0</v>
      </c>
      <c r="K1827" s="2044" t="s">
        <v>367</v>
      </c>
      <c r="L1827" s="2044" t="str">
        <f>$M$1762</f>
        <v>New Supply</v>
      </c>
      <c r="M1827" s="2108">
        <v>6</v>
      </c>
      <c r="N1827" s="2255"/>
      <c r="O1827" s="2303">
        <f>'Part IX Scoring Criteria'!O108</f>
        <v>3</v>
      </c>
      <c r="P1827" s="2303">
        <f>'Part IX Scoring Criteria'!P108</f>
        <v>0</v>
      </c>
      <c r="Q1827" s="2108" t="s">
        <v>422</v>
      </c>
      <c r="R1827" s="2244" t="s">
        <v>7151</v>
      </c>
      <c r="S1827" s="2244"/>
      <c r="T1827" s="2244"/>
      <c r="U1827" s="2244"/>
    </row>
    <row r="1828" spans="1:21" s="2274" customFormat="1" ht="17.25" customHeight="1">
      <c r="A1828" s="2306"/>
      <c r="B1828" s="1719" t="s">
        <v>3469</v>
      </c>
      <c r="D1828" s="2379"/>
      <c r="H1828" s="1719"/>
      <c r="M1828" s="2108"/>
      <c r="N1828" s="2255"/>
      <c r="O1828" s="2383" t="s">
        <v>3270</v>
      </c>
      <c r="P1828" s="2383" t="s">
        <v>3271</v>
      </c>
      <c r="Q1828" s="2108"/>
      <c r="R1828" s="2244"/>
      <c r="S1828" s="2244"/>
      <c r="T1828" s="2244"/>
      <c r="U1828" s="2244"/>
    </row>
    <row r="1829" spans="1:21" s="2274" customFormat="1" ht="11.25" customHeight="1">
      <c r="A1829" s="2306"/>
      <c r="B1829" s="2384" t="s">
        <v>1896</v>
      </c>
      <c r="C1829" s="435" t="s">
        <v>3984</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3985</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6386</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7152</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6547</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3346</v>
      </c>
      <c r="G1835" s="1719"/>
      <c r="H1835" s="1719"/>
      <c r="I1835" s="1719"/>
      <c r="J1835" s="1719" t="s">
        <v>3347</v>
      </c>
      <c r="K1835" s="1719"/>
      <c r="L1835" s="1719"/>
      <c r="M1835" s="1719"/>
      <c r="N1835" s="2255"/>
      <c r="O1835" s="2385" t="s">
        <v>7153</v>
      </c>
      <c r="P1835" s="2385"/>
      <c r="Q1835" s="2108"/>
      <c r="R1835" s="2244"/>
      <c r="S1835" s="2244"/>
      <c r="T1835" s="2244"/>
      <c r="U1835" s="2244"/>
    </row>
    <row r="1836" spans="1:21" s="2274" customFormat="1" ht="12.75" customHeight="1">
      <c r="A1836" s="2306"/>
      <c r="C1836" s="1719" t="s">
        <v>3472</v>
      </c>
      <c r="D1836" s="1989"/>
      <c r="E1836" s="1875"/>
      <c r="F1836" s="1872">
        <f>'Part IX Scoring Criteria'!F117</f>
        <v>31.852126999999999</v>
      </c>
      <c r="G1836" s="1872"/>
      <c r="H1836" s="2386"/>
      <c r="I1836" s="2386"/>
      <c r="J1836" s="1872">
        <f>'Part IX Scoring Criteria'!J117</f>
        <v>-81575609</v>
      </c>
      <c r="K1836" s="1872"/>
      <c r="L1836" s="2386"/>
      <c r="M1836" s="2386"/>
      <c r="N1836" s="2255"/>
      <c r="Q1836" s="2108"/>
      <c r="R1836" s="2244"/>
      <c r="S1836" s="2244"/>
      <c r="T1836" s="2244"/>
      <c r="U1836" s="2244"/>
    </row>
    <row r="1837" spans="1:21" s="2274" customFormat="1" ht="12.75" customHeight="1">
      <c r="A1837" s="2387" t="s">
        <v>3542</v>
      </c>
      <c r="B1837" s="2387"/>
      <c r="E1837" s="2255" t="s">
        <v>6388</v>
      </c>
      <c r="F1837" s="1872">
        <f>'Part IX Scoring Criteria'!F118</f>
        <v>31.853331000000001</v>
      </c>
      <c r="G1837" s="1872"/>
      <c r="H1837" s="2386"/>
      <c r="I1837" s="2386"/>
      <c r="J1837" s="1872">
        <f>'Part IX Scoring Criteria'!J118</f>
        <v>-81.576492000000002</v>
      </c>
      <c r="K1837" s="1872"/>
      <c r="L1837" s="2386"/>
      <c r="M1837" s="2386"/>
      <c r="N1837" s="2255"/>
      <c r="O1837" s="2388">
        <f>'Part IX Scoring Criteria'!O118</f>
        <v>0.01</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6383</v>
      </c>
      <c r="B1841" s="2153"/>
      <c r="D1841" s="2379"/>
      <c r="F1841" s="2170" t="s">
        <v>7154</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3368</v>
      </c>
      <c r="D1843" s="2379"/>
      <c r="F1843" s="2156" t="s">
        <v>7155</v>
      </c>
      <c r="M1843" s="2108">
        <v>6</v>
      </c>
      <c r="N1843" s="2359" t="s">
        <v>1893</v>
      </c>
      <c r="O1843" s="2192">
        <f>'Part IX Scoring Criteria'!O124</f>
        <v>0</v>
      </c>
      <c r="P1843" s="2192">
        <f>'Part IX Scoring Criteria'!P124</f>
        <v>0</v>
      </c>
      <c r="Q1843" s="2108"/>
    </row>
    <row r="1844" spans="1:21" s="2274" customFormat="1" ht="12.6" customHeight="1">
      <c r="A1844" s="2257"/>
      <c r="B1844" s="435" t="s">
        <v>6390</v>
      </c>
      <c r="D1844" s="2379"/>
      <c r="F1844" s="2156"/>
      <c r="M1844" s="2108"/>
      <c r="N1844" s="2359"/>
      <c r="O1844" s="2230">
        <f>'Part IX Scoring Criteria'!O125</f>
        <v>0</v>
      </c>
      <c r="P1844" s="2164"/>
      <c r="Q1844" s="2108"/>
    </row>
    <row r="1845" spans="1:21" s="2391" customFormat="1" ht="36.75" customHeight="1">
      <c r="B1845" s="2392" t="s">
        <v>1896</v>
      </c>
      <c r="C1845" s="2223" t="s">
        <v>7156</v>
      </c>
      <c r="D1845" s="2223"/>
      <c r="E1845" s="2223"/>
      <c r="F1845" s="2223"/>
      <c r="G1845" s="2223"/>
      <c r="H1845" s="2223"/>
      <c r="I1845" s="2003" t="s">
        <v>7157</v>
      </c>
      <c r="J1845" s="2003"/>
      <c r="K1845" s="2003"/>
      <c r="L1845" s="2003"/>
      <c r="M1845" s="2309">
        <v>6</v>
      </c>
      <c r="N1845" s="2392" t="s">
        <v>1896</v>
      </c>
      <c r="O1845" s="2393">
        <f>'Part IX Scoring Criteria'!O126</f>
        <v>0</v>
      </c>
      <c r="P1845" s="2394"/>
      <c r="Q1845" s="2282"/>
      <c r="R1845" s="1858" t="s">
        <v>4265</v>
      </c>
    </row>
    <row r="1846" spans="1:21" s="2391" customFormat="1" ht="12" customHeight="1">
      <c r="A1846" s="2164" t="s">
        <v>1304</v>
      </c>
      <c r="B1846" s="2392" t="s">
        <v>1898</v>
      </c>
      <c r="C1846" s="2223" t="s">
        <v>6385</v>
      </c>
      <c r="D1846" s="2223"/>
      <c r="E1846" s="2223"/>
      <c r="F1846" s="2223"/>
      <c r="G1846" s="2223"/>
      <c r="I1846" s="2003"/>
      <c r="J1846" s="2003"/>
      <c r="K1846" s="2003"/>
      <c r="L1846" s="2003"/>
      <c r="M1846" s="2108">
        <v>5</v>
      </c>
      <c r="N1846" s="2384" t="s">
        <v>1898</v>
      </c>
      <c r="O1846" s="2380">
        <f>'Part IX Scoring Criteria'!O127</f>
        <v>0</v>
      </c>
      <c r="P1846" s="2303"/>
      <c r="Q1846" s="2282"/>
      <c r="R1846" s="1858" t="s">
        <v>4265</v>
      </c>
    </row>
    <row r="1847" spans="1:21" s="2391" customFormat="1" ht="12" customHeight="1">
      <c r="B1847" s="2392"/>
      <c r="C1847" s="2223"/>
      <c r="D1847" s="2223"/>
      <c r="E1847" s="2223"/>
      <c r="F1847" s="2223"/>
      <c r="G1847" s="1864" t="s">
        <v>6389</v>
      </c>
      <c r="H1847" s="1864"/>
      <c r="I1847" s="2003"/>
      <c r="J1847" s="2003"/>
      <c r="K1847" s="2003"/>
      <c r="L1847" s="2003"/>
      <c r="M1847" s="435" t="str">
        <f>IF(AND(O1846&gt;0,O1845&gt;0),"Pick A1 or A2!","")</f>
        <v/>
      </c>
      <c r="N1847" s="435"/>
      <c r="O1847" s="435"/>
      <c r="P1847" s="435"/>
      <c r="Q1847" s="2282"/>
      <c r="R1847" s="2044" t="s">
        <v>6566</v>
      </c>
      <c r="S1847" s="2044" t="s">
        <v>6384</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3369</v>
      </c>
      <c r="C1850" s="1843"/>
      <c r="D1850" s="1843"/>
      <c r="F1850" s="2227" t="s">
        <v>7158</v>
      </c>
      <c r="I1850" s="1951" t="str">
        <f>'Part IX Scoring Criteria'!I131</f>
        <v>Liberty Transit</v>
      </c>
      <c r="J1850" s="1951"/>
      <c r="K1850" s="1951"/>
      <c r="L1850" s="2398" t="str">
        <f>'Part IX Scoring Criteria'!L131</f>
        <v>912-877-1472</v>
      </c>
      <c r="M1850" s="2108">
        <v>3</v>
      </c>
      <c r="N1850" s="2255" t="s">
        <v>1895</v>
      </c>
      <c r="O1850" s="2192">
        <f>'Part IX Scoring Criteria'!O131</f>
        <v>3</v>
      </c>
      <c r="P1850" s="2192">
        <f>'Part IX Scoring Criteria'!P131</f>
        <v>0</v>
      </c>
      <c r="Q1850" s="2399"/>
      <c r="R1850" s="2164">
        <v>1</v>
      </c>
      <c r="S1850" s="2164">
        <v>4</v>
      </c>
    </row>
    <row r="1851" spans="1:21" s="2274" customFormat="1" ht="11.25" customHeight="1">
      <c r="A1851" s="2306"/>
      <c r="B1851" s="2255" t="s">
        <v>3393</v>
      </c>
      <c r="C1851" s="1864" t="s">
        <v>3983</v>
      </c>
      <c r="D1851" s="2381"/>
      <c r="F1851" s="2284"/>
      <c r="G1851" s="2284"/>
      <c r="H1851" s="2156"/>
      <c r="I1851" s="1951"/>
      <c r="J1851" s="1951"/>
      <c r="K1851" s="1951"/>
      <c r="L1851" s="2398"/>
      <c r="M1851" s="2284"/>
      <c r="N1851" s="2255" t="s">
        <v>3393</v>
      </c>
      <c r="O1851" s="2230">
        <f>'Part IX Scoring Criteria'!O132</f>
        <v>0</v>
      </c>
      <c r="P1851" s="2164"/>
      <c r="Q1851" s="2108"/>
      <c r="R1851" s="1967"/>
      <c r="S1851" s="2391"/>
      <c r="T1851" s="2391"/>
      <c r="U1851" s="2391"/>
    </row>
    <row r="1852" spans="1:21" s="2274" customFormat="1" ht="11.25" customHeight="1">
      <c r="A1852" s="2306"/>
      <c r="B1852" s="2255" t="s">
        <v>3394</v>
      </c>
      <c r="C1852" s="1864" t="s">
        <v>3982</v>
      </c>
      <c r="D1852" s="2381"/>
      <c r="F1852" s="2284"/>
      <c r="G1852" s="2284"/>
      <c r="H1852" s="2156"/>
      <c r="I1852" s="1951" t="str">
        <f>'Part IX Scoring Criteria'!I133</f>
        <v>info@libertytransit.org</v>
      </c>
      <c r="J1852" s="1951"/>
      <c r="K1852" s="1951"/>
      <c r="L1852" s="1951"/>
      <c r="M1852" s="2284"/>
      <c r="N1852" s="2255" t="s">
        <v>3394</v>
      </c>
      <c r="O1852" s="2230">
        <f>'Part IX Scoring Criteria'!O133</f>
        <v>0</v>
      </c>
      <c r="P1852" s="2164"/>
      <c r="Q1852" s="2108"/>
      <c r="R1852" s="1967"/>
      <c r="S1852" s="2391"/>
      <c r="T1852" s="2391"/>
      <c r="U1852" s="2391"/>
    </row>
    <row r="1853" spans="1:21" s="2391" customFormat="1" ht="12" customHeight="1">
      <c r="A1853" s="2141"/>
      <c r="B1853" s="2400" t="s">
        <v>1896</v>
      </c>
      <c r="C1853" s="435" t="s">
        <v>7159</v>
      </c>
      <c r="D1853" s="435"/>
      <c r="E1853" s="435"/>
      <c r="F1853" s="435"/>
      <c r="G1853" s="435"/>
      <c r="H1853" s="435"/>
      <c r="I1853" s="1951"/>
      <c r="J1853" s="1951"/>
      <c r="K1853" s="1951"/>
      <c r="L1853" s="1951"/>
      <c r="M1853" s="2108">
        <v>3</v>
      </c>
      <c r="N1853" s="2384" t="s">
        <v>1896</v>
      </c>
      <c r="O1853" s="2371">
        <f>'Part IX Scoring Criteria'!O134</f>
        <v>3</v>
      </c>
      <c r="P1853" s="2192"/>
      <c r="Q1853" s="2397" t="str">
        <f>IF(OR($O1853=$M1853,$O1853=0,$O1853=""),"","*CHECK!*")</f>
        <v/>
      </c>
      <c r="R1853" s="1858" t="s">
        <v>4265</v>
      </c>
    </row>
    <row r="1854" spans="1:21" s="2274" customFormat="1" ht="12" customHeight="1">
      <c r="A1854" s="2164" t="s">
        <v>1304</v>
      </c>
      <c r="B1854" s="2400" t="s">
        <v>1898</v>
      </c>
      <c r="C1854" s="435" t="s">
        <v>7160</v>
      </c>
      <c r="D1854" s="435"/>
      <c r="E1854" s="435"/>
      <c r="F1854" s="435"/>
      <c r="G1854" s="435"/>
      <c r="H1854" s="435"/>
      <c r="I1854" s="1951" t="str">
        <f>'Part IX Scoring Criteria'!I135</f>
        <v>https://www.cityofhinesville.org/DocumentCenter/View/1553/Transit-Ride-Guide-Electronic-Version</v>
      </c>
      <c r="J1854" s="1951"/>
      <c r="K1854" s="1951"/>
      <c r="L1854" s="1951"/>
      <c r="M1854" s="2108">
        <v>2</v>
      </c>
      <c r="N1854" s="2384" t="s">
        <v>1898</v>
      </c>
      <c r="O1854" s="2371">
        <f>'Part IX Scoring Criteria'!O135</f>
        <v>0</v>
      </c>
      <c r="P1854" s="2192"/>
      <c r="Q1854" s="2397" t="str">
        <f>IF(OR($O1854=$M1854,$O1854=0,$O1854=""),"","*CHECK!*")</f>
        <v/>
      </c>
      <c r="R1854" s="1858" t="s">
        <v>4265</v>
      </c>
    </row>
    <row r="1855" spans="1:21" s="2274" customFormat="1" ht="21.75" customHeight="1">
      <c r="A1855" s="2252" t="s">
        <v>1304</v>
      </c>
      <c r="B1855" s="2401" t="s">
        <v>2416</v>
      </c>
      <c r="C1855" s="2223" t="s">
        <v>7161</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4265</v>
      </c>
    </row>
    <row r="1856" spans="1:21" s="2274" customFormat="1" ht="12.6" customHeight="1">
      <c r="A1856" s="2390" t="s">
        <v>2608</v>
      </c>
      <c r="B1856" s="1719"/>
      <c r="E1856" s="2379"/>
      <c r="I1856" s="1951" t="str">
        <f>'Part IX Scoring Criteria'!I137</f>
        <v>https://www.cityofhinesville.org/DocumentCenter/View/1553/Transit-Ride-Guide-Electronic-Version</v>
      </c>
      <c r="J1856" s="1951"/>
      <c r="K1856" s="1951"/>
      <c r="L1856" s="1951"/>
      <c r="M1856" s="2108"/>
      <c r="N1856" s="2108"/>
      <c r="O1856" s="2108"/>
      <c r="P1856" s="2108"/>
      <c r="Q1856" s="2366"/>
      <c r="R1856" s="2366"/>
    </row>
    <row r="1857" spans="1:19" s="2284" customFormat="1" ht="12" customHeight="1">
      <c r="A1857" s="2141"/>
      <c r="B1857" s="2392" t="s">
        <v>1178</v>
      </c>
      <c r="C1857" s="1719" t="s">
        <v>7162</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4265</v>
      </c>
    </row>
    <row r="1858" spans="1:19" s="2284" customFormat="1" ht="12" customHeight="1">
      <c r="A1858" s="2141"/>
      <c r="B1858" s="2392"/>
      <c r="C1858" s="1719" t="s">
        <v>7163</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7164</v>
      </c>
      <c r="B1859" s="1719"/>
      <c r="E1859" s="2379"/>
      <c r="K1859" s="1719"/>
      <c r="M1859" s="2108"/>
      <c r="N1859" s="2108"/>
      <c r="O1859" s="2108"/>
      <c r="P1859" s="2108"/>
      <c r="Q1859" s="2366"/>
      <c r="R1859" s="2366"/>
    </row>
    <row r="1860" spans="1:19" s="2274" customFormat="1" ht="11.25" customHeight="1">
      <c r="A1860" s="1818"/>
      <c r="B1860" s="2156" t="s">
        <v>3372</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The development is located within a .25 mile walking distance to an established transit stop that runs Monday-Friday 8 AM to 5 PM. The stop is labled as "Walmart East 84" on the red line, which has 8 stops per day. This service is publized for the general public, and is therefore available to all residents. The Liberty Transit link above links to the electronic flyer that shows all schedules and routes for all of the Liberty Transit's routes.</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6394</v>
      </c>
      <c r="C1866" s="2228"/>
      <c r="D1866" s="2228"/>
      <c r="E1866" s="2228"/>
      <c r="G1866" s="2044" t="s">
        <v>3986</v>
      </c>
      <c r="H1866" s="1912" t="str">
        <f>'Part I-Project Information'!$H$77</f>
        <v>Family</v>
      </c>
      <c r="M1866" s="2108">
        <v>3</v>
      </c>
      <c r="N1866" s="2309"/>
      <c r="O1866" s="2110">
        <f>'Part IX Scoring Criteria'!O147</f>
        <v>1.5</v>
      </c>
      <c r="P1866" s="2108"/>
      <c r="Q1866" s="2282" t="str">
        <f>IF(OR($O1866&lt;=$M1866,$O1866=0,$O1866=""),"","*CHECK!*")</f>
        <v/>
      </c>
      <c r="R1866" s="2105" t="s">
        <v>422</v>
      </c>
      <c r="S1866" s="1858" t="s">
        <v>4265</v>
      </c>
    </row>
    <row r="1867" spans="1:19" ht="18.75" customHeight="1">
      <c r="C1867" s="1972" t="s">
        <v>7165</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7070</v>
      </c>
      <c r="I1868" s="1950"/>
      <c r="J1868" s="1950"/>
      <c r="K1868" s="2045" t="s">
        <v>7071</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Joseph Martin Elemantary School</v>
      </c>
      <c r="D1871" s="2070"/>
      <c r="E1871" s="2070"/>
      <c r="F1871" s="2070"/>
      <c r="G1871" s="2070"/>
      <c r="H1871" s="2111" t="str">
        <f>'Part IX Scoring Criteria'!H152</f>
        <v>No</v>
      </c>
      <c r="I1871" s="2111"/>
      <c r="J1871" s="2111"/>
      <c r="K1871" s="2111" t="str">
        <f>'Part IX Scoring Criteria'!K152</f>
        <v>Yes</v>
      </c>
      <c r="L1871" s="2111"/>
      <c r="M1871" s="2145"/>
    </row>
    <row r="1872" spans="1:19">
      <c r="B1872" s="2084"/>
      <c r="C1872" s="2070" t="str">
        <f>'Part IX Scoring Criteria'!C153</f>
        <v>Midway Middle School</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Liberty County High School</v>
      </c>
      <c r="D1873" s="2070"/>
      <c r="E1873" s="2070"/>
      <c r="F1873" s="2070"/>
      <c r="G1873" s="2070"/>
      <c r="H1873" s="2111" t="str">
        <f>'Part IX Scoring Criteria'!H154</f>
        <v>No</v>
      </c>
      <c r="I1873" s="2111"/>
      <c r="J1873" s="2111"/>
      <c r="K1873" s="2111" t="str">
        <f>'Part IX Scoring Criteria'!K154</f>
        <v>No</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3372</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development has 3 grades above the CCRPI average which would qualify for 1 point, but also has a total of 8 grades with BTO designation since 2018 which qualifiies for a final score of 1.5 points.</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6428</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7072</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4265</v>
      </c>
      <c r="S1885" s="1855"/>
      <c r="T1885" s="1855"/>
      <c r="U1885" s="1855"/>
    </row>
    <row r="1886" spans="1:21" s="2158" customFormat="1" ht="12" customHeight="1">
      <c r="B1886" s="2224" t="s">
        <v>2324</v>
      </c>
      <c r="C1886" s="2223" t="s">
        <v>7166</v>
      </c>
      <c r="D1886" s="2223"/>
      <c r="E1886" s="2223"/>
      <c r="F1886" s="2223"/>
      <c r="G1886" s="2223"/>
      <c r="H1886" s="2223"/>
      <c r="I1886" s="2223"/>
      <c r="J1886" s="2223"/>
      <c r="K1886" s="2223"/>
      <c r="L1886" s="2224"/>
      <c r="M1886" s="2112" t="s">
        <v>6302</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&lt;Enter page nbr(s) from Plan&gt;</v>
      </c>
      <c r="N1887" s="1942"/>
      <c r="O1887" s="1942"/>
      <c r="P1887" s="1942"/>
      <c r="S1887" s="1855"/>
      <c r="T1887" s="1855"/>
      <c r="U1887" s="1855"/>
    </row>
    <row r="1888" spans="1:21" s="1818" customFormat="1" ht="12.75" customHeight="1">
      <c r="B1888" s="2255" t="s">
        <v>2325</v>
      </c>
      <c r="C1888" s="435" t="s">
        <v>4159</v>
      </c>
      <c r="D1888" s="435"/>
      <c r="E1888" s="435"/>
      <c r="F1888" s="435"/>
      <c r="G1888" s="435"/>
      <c r="H1888" s="435"/>
      <c r="L1888" s="2255" t="s">
        <v>2325</v>
      </c>
      <c r="M1888" s="1942" t="str">
        <f>'Part IX Scoring Criteria'!M169</f>
        <v>&lt;Enter page nbr(s) from Plan&gt;</v>
      </c>
      <c r="N1888" s="1942"/>
      <c r="O1888" s="1942"/>
      <c r="P1888" s="1942"/>
      <c r="S1888" s="1855"/>
      <c r="T1888" s="1855"/>
      <c r="U1888" s="1855"/>
    </row>
    <row r="1889" spans="1:22" s="1818" customFormat="1" ht="12.75" customHeight="1">
      <c r="B1889" s="2255" t="s">
        <v>2326</v>
      </c>
      <c r="C1889" s="435" t="s">
        <v>6426</v>
      </c>
      <c r="D1889" s="435"/>
      <c r="E1889" s="435"/>
      <c r="F1889" s="435"/>
      <c r="G1889" s="435"/>
      <c r="H1889" s="435"/>
      <c r="L1889" s="2255" t="s">
        <v>2326</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6427</v>
      </c>
      <c r="D1890" s="435"/>
      <c r="E1890" s="435"/>
      <c r="F1890" s="435"/>
      <c r="G1890" s="435"/>
      <c r="L1890" s="2255" t="s">
        <v>2327</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6549</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7073</v>
      </c>
      <c r="D1893" s="2223"/>
      <c r="E1893" s="2223"/>
      <c r="F1893" s="2223"/>
      <c r="G1893" s="2223"/>
      <c r="H1893" s="2223"/>
      <c r="I1893" s="2223"/>
      <c r="J1893" s="2223"/>
      <c r="K1893" s="2223"/>
      <c r="L1893" s="2223"/>
      <c r="M1893" s="2252">
        <v>1</v>
      </c>
      <c r="N1893" s="2224" t="s">
        <v>4285</v>
      </c>
      <c r="O1893" s="2407">
        <f>'Part IX Scoring Criteria'!O174</f>
        <v>0</v>
      </c>
      <c r="P1893" s="2362"/>
      <c r="Q1893" s="2282" t="str">
        <f>IF(OR($O1893=$M1893,$O1893=0,$O1893=""),"","*CHECK!*")</f>
        <v/>
      </c>
      <c r="R1893" s="1858" t="s">
        <v>4265</v>
      </c>
    </row>
    <row r="1894" spans="1:22" s="1852" customFormat="1" ht="36.75" customHeight="1">
      <c r="A1894" s="2255"/>
      <c r="B1894" s="2224" t="s">
        <v>2325</v>
      </c>
      <c r="C1894" s="2223" t="s">
        <v>7074</v>
      </c>
      <c r="D1894" s="2223"/>
      <c r="E1894" s="2223"/>
      <c r="F1894" s="2223"/>
      <c r="G1894" s="2223"/>
      <c r="H1894" s="2223"/>
      <c r="I1894" s="2223"/>
      <c r="J1894" s="2223"/>
      <c r="K1894" s="2223"/>
      <c r="L1894" s="2223"/>
      <c r="M1894" s="2252">
        <v>1</v>
      </c>
      <c r="N1894" s="2224" t="s">
        <v>6563</v>
      </c>
      <c r="O1894" s="2410">
        <f>'Part IX Scoring Criteria'!O175</f>
        <v>0</v>
      </c>
      <c r="P1894" s="2411"/>
      <c r="Q1894" s="2282" t="str">
        <f>IF(OR($O1894=$M1894,$O1894=0,$O1894=""),"","*CHECK!*")</f>
        <v/>
      </c>
      <c r="R1894" s="1858" t="s">
        <v>4265</v>
      </c>
    </row>
    <row r="1895" spans="1:22" s="1852" customFormat="1" ht="12" customHeight="1">
      <c r="A1895" s="2255"/>
      <c r="B1895" s="2255" t="s">
        <v>2326</v>
      </c>
      <c r="C1895" s="2223" t="s">
        <v>7075</v>
      </c>
      <c r="D1895" s="2223"/>
      <c r="E1895" s="2223"/>
      <c r="F1895" s="2223"/>
      <c r="G1895" s="2223"/>
      <c r="H1895" s="2223"/>
      <c r="I1895" s="2223"/>
      <c r="J1895" s="2223"/>
      <c r="K1895" s="2223"/>
      <c r="L1895" s="2223"/>
      <c r="M1895" s="2164">
        <v>1</v>
      </c>
      <c r="N1895" s="2255" t="s">
        <v>6564</v>
      </c>
      <c r="O1895" s="2407">
        <f>'Part IX Scoring Criteria'!O176</f>
        <v>0</v>
      </c>
      <c r="P1895" s="2362"/>
      <c r="Q1895" s="2282" t="str">
        <f>IF(OR($O1895=$M1895,$O1895=0,$O1895=""),"","*CHECK!*")</f>
        <v/>
      </c>
      <c r="R1895" s="1858" t="s">
        <v>4265</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3987</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4265</v>
      </c>
    </row>
    <row r="1898" spans="1:22" s="2284" customFormat="1" ht="10.5" customHeight="1">
      <c r="A1898" s="1818"/>
      <c r="B1898" s="2156" t="s">
        <v>3372</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NA</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6550</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7076</v>
      </c>
      <c r="D1906" s="1818"/>
      <c r="G1906" s="2290"/>
      <c r="O1906" s="2164"/>
      <c r="P1906" s="2164"/>
      <c r="Q1906" s="1912"/>
    </row>
    <row r="1907" spans="1:24" s="2309" customFormat="1" ht="12.75" customHeight="1">
      <c r="B1907" s="2392" t="s">
        <v>1896</v>
      </c>
      <c r="C1907" s="2223" t="s">
        <v>6467</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6468</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6471</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6469</v>
      </c>
      <c r="D1910" s="1818"/>
      <c r="G1910" s="2290"/>
      <c r="O1910" s="2164"/>
      <c r="P1910" s="2164"/>
      <c r="Q1910" s="1912"/>
    </row>
    <row r="1911" spans="1:24" s="2309" customFormat="1" ht="23.25" customHeight="1">
      <c r="B1911" s="2392" t="s">
        <v>1896</v>
      </c>
      <c r="C1911" s="2223" t="s">
        <v>7077</v>
      </c>
      <c r="D1911" s="2223"/>
      <c r="E1911" s="2223"/>
      <c r="F1911" s="2223"/>
      <c r="G1911" s="2223"/>
      <c r="H1911" s="2223"/>
      <c r="I1911" s="2223"/>
      <c r="J1911" s="2223"/>
      <c r="K1911" s="2223"/>
      <c r="L1911" s="2223"/>
      <c r="M1911" s="2257" t="s">
        <v>2021</v>
      </c>
      <c r="N1911" s="2359" t="s">
        <v>1896</v>
      </c>
      <c r="O1911" s="2264">
        <f>'Part IX Scoring Criteria'!O192</f>
        <v>0</v>
      </c>
      <c r="P1911" s="2252"/>
      <c r="Q1911" s="2028"/>
      <c r="V1911" s="2415"/>
      <c r="W1911" s="2415"/>
    </row>
    <row r="1912" spans="1:24" s="1818" customFormat="1" ht="23.25" customHeight="1">
      <c r="A1912" s="2255"/>
      <c r="B1912" s="2392" t="s">
        <v>1898</v>
      </c>
      <c r="C1912" s="2223" t="s">
        <v>7078</v>
      </c>
      <c r="D1912" s="2223"/>
      <c r="E1912" s="2223"/>
      <c r="F1912" s="2223"/>
      <c r="G1912" s="2223"/>
      <c r="H1912" s="2223"/>
      <c r="I1912" s="2223"/>
      <c r="J1912" s="2223"/>
      <c r="K1912" s="2223"/>
      <c r="L1912" s="2223"/>
      <c r="M1912" s="435"/>
      <c r="N1912" s="2359" t="s">
        <v>1898</v>
      </c>
      <c r="O1912" s="2264">
        <f>'Part IX Scoring Criteria'!O193</f>
        <v>0</v>
      </c>
      <c r="P1912" s="2252"/>
      <c r="Q1912" s="2105"/>
      <c r="V1912" s="2416"/>
      <c r="W1912" s="2416"/>
    </row>
    <row r="1913" spans="1:24" s="2274" customFormat="1" ht="12" customHeight="1">
      <c r="A1913" s="1818"/>
      <c r="B1913" s="2156" t="s">
        <v>3372</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NA</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5</v>
      </c>
      <c r="P1918" s="2192">
        <f>'Part IX Scoring Criteria'!P199</f>
        <v>0</v>
      </c>
      <c r="Q1918" s="2108" t="s">
        <v>422</v>
      </c>
      <c r="R1918" s="1858" t="s">
        <v>4265</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3988</v>
      </c>
      <c r="D1920" s="2156"/>
      <c r="E1920" s="2156"/>
      <c r="K1920" s="2418"/>
      <c r="M1920" s="2108">
        <v>5</v>
      </c>
      <c r="N1920" s="2255" t="s">
        <v>1893</v>
      </c>
      <c r="O1920" s="2371">
        <f>'Part IX Scoring Criteria'!O201</f>
        <v>3</v>
      </c>
      <c r="P1920" s="2192"/>
      <c r="Q1920" s="2282" t="str">
        <f>IF(O1920&lt;=M1920,"","*CHECK!*")</f>
        <v/>
      </c>
      <c r="R1920" s="1858" t="s">
        <v>4265</v>
      </c>
      <c r="S1920" s="2003"/>
      <c r="T1920" s="2003"/>
      <c r="U1920" s="2003"/>
    </row>
    <row r="1921" spans="1:22" ht="12.75" customHeight="1">
      <c r="B1921" s="2419"/>
      <c r="C1921" s="2160" t="s">
        <v>6552</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6553</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6473</v>
      </c>
      <c r="C1924" s="435"/>
      <c r="G1924" s="2055" t="s">
        <v>6534</v>
      </c>
      <c r="H1924" s="2253">
        <f>'Part IX Scoring Criteria'!H205</f>
        <v>2019</v>
      </c>
      <c r="K1924" s="2255"/>
      <c r="L1924" s="2255"/>
      <c r="M1924" s="2108">
        <v>5</v>
      </c>
      <c r="N1924" s="2255" t="s">
        <v>1895</v>
      </c>
      <c r="O1924" s="2371">
        <f>'Part IX Scoring Criteria'!O205</f>
        <v>2</v>
      </c>
      <c r="P1924" s="2192"/>
      <c r="Q1924" s="2282" t="str">
        <f>IF(O1924&lt;=M1924,"","*CHECK!*")</f>
        <v/>
      </c>
      <c r="R1924" s="1858" t="s">
        <v>4265</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6479</v>
      </c>
      <c r="E1926" s="2045"/>
      <c r="F1926" s="2428" t="s">
        <v>6478</v>
      </c>
      <c r="G1926" s="2428"/>
      <c r="H1926" s="2428"/>
      <c r="I1926" s="2428"/>
      <c r="J1926" s="2428"/>
      <c r="K1926" s="2428"/>
      <c r="L1926" s="2428"/>
      <c r="M1926" s="2045"/>
    </row>
    <row r="1927" spans="1:22" ht="13.5" customHeight="1">
      <c r="B1927" s="1926"/>
      <c r="C1927" s="2045"/>
      <c r="D1927" s="2160" t="s">
        <v>6476</v>
      </c>
      <c r="E1927" s="2160"/>
      <c r="F1927" s="2429" t="str">
        <f>'Part IX Scoring Criteria'!F208</f>
        <v>Above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6477</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6474</v>
      </c>
      <c r="E1929" s="2160"/>
      <c r="F1929" s="2429" t="str">
        <f>'Part IX Scoring Criteria'!F210</f>
        <v>At or Below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6475</v>
      </c>
      <c r="E1930" s="2160"/>
      <c r="F1930" s="2429" t="str">
        <f>'Part IX Scoring Criteria'!F211</f>
        <v>At or Below 60th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3372</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 xml:space="preserve">The development's census tract, 103.00, is below the 15% povery level for Metro sites which qualifies for 3 poitnts. Additionally, both Life Expectancy and Health Insurance Rates are above the 60th percentile which qualifies for an additional 2 points. </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4239</v>
      </c>
      <c r="C1939" s="2112"/>
      <c r="G1939" s="1912" t="s">
        <v>6542</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6543</v>
      </c>
      <c r="D1940" s="435"/>
      <c r="E1940" s="435"/>
      <c r="F1940" s="2108"/>
      <c r="G1940" s="2164" t="s">
        <v>3273</v>
      </c>
      <c r="H1940" s="2261">
        <f>IF('Part VI-Revenues &amp; Expenses'!$P$67=0,0,'Part VI-Revenues &amp; Expenses'!$P$64/'Part VI-Revenues &amp; Expenses'!$P$67)</f>
        <v>0.1111111111111111</v>
      </c>
      <c r="J1940" s="2290" t="s">
        <v>4162</v>
      </c>
      <c r="K1940" s="2262" t="str">
        <f>'Part I-Project Information'!$K$94</f>
        <v>40% of Units at 60% of AMI</v>
      </c>
      <c r="L1940" s="2262"/>
      <c r="M1940" s="2164"/>
      <c r="N1940" s="2108"/>
      <c r="O1940" s="2051"/>
      <c r="P1940" s="2192"/>
    </row>
    <row r="1941" spans="1:24" s="1852" customFormat="1" ht="12" customHeight="1">
      <c r="A1941" s="2117" t="s">
        <v>1893</v>
      </c>
      <c r="B1941" s="2112" t="s">
        <v>4160</v>
      </c>
      <c r="C1941" s="2112"/>
      <c r="D1941" s="2112" t="s">
        <v>4161</v>
      </c>
      <c r="M1941" s="2108">
        <v>1</v>
      </c>
      <c r="N1941" s="2255" t="s">
        <v>1893</v>
      </c>
      <c r="O1941" s="2371">
        <f>'Part IX Scoring Criteria'!O222</f>
        <v>1</v>
      </c>
      <c r="P1941" s="2192"/>
      <c r="Q1941" s="2397" t="str">
        <f>IF(OR($O1941=$M1941,$O1941=0,$O1941=""),"","*CHECK!*")</f>
        <v/>
      </c>
      <c r="R1941" s="1858" t="s">
        <v>4265</v>
      </c>
    </row>
    <row r="1942" spans="1:24" s="1852" customFormat="1" ht="12" customHeight="1">
      <c r="A1942" s="2117" t="s">
        <v>1895</v>
      </c>
      <c r="B1942" s="2112" t="s">
        <v>3976</v>
      </c>
      <c r="C1942" s="2112"/>
      <c r="D1942" s="2112" t="s">
        <v>4244</v>
      </c>
      <c r="M1942" s="2051">
        <v>1</v>
      </c>
      <c r="N1942" s="2255" t="s">
        <v>1895</v>
      </c>
      <c r="O1942" s="2371">
        <f>'Part IX Scoring Criteria'!O223</f>
        <v>0</v>
      </c>
      <c r="P1942" s="2192"/>
      <c r="Q1942" s="2397" t="str">
        <f>IF(OR($O1942=$M1942,$O1942=0,$O1942=""),"","*CHECK!*")</f>
        <v/>
      </c>
      <c r="R1942" s="1858" t="s">
        <v>4265</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3396</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3397</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3372</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4241</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4265</v>
      </c>
      <c r="S1956" s="1856"/>
      <c r="T1956" s="1856"/>
      <c r="U1956" s="1856"/>
      <c r="V1956" s="1856"/>
      <c r="W1956" s="1967"/>
      <c r="X1956" s="1967"/>
    </row>
    <row r="1957" spans="1:27" s="2112" customFormat="1" ht="11.25">
      <c r="A1957" s="2392"/>
      <c r="B1957" s="2223" t="s">
        <v>6554</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6555</v>
      </c>
      <c r="E1958" s="2121" t="s">
        <v>3453</v>
      </c>
      <c r="G1958" s="2230">
        <f>'Part IX Scoring Criteria'!G239</f>
        <v>0</v>
      </c>
      <c r="H1958" s="2255" t="s">
        <v>587</v>
      </c>
      <c r="I1958" s="2111">
        <f>'Part IX Scoring Criteria'!I239</f>
        <v>0</v>
      </c>
      <c r="J1958" s="2111"/>
      <c r="L1958" s="2433" t="s">
        <v>6557</v>
      </c>
      <c r="M1958" s="2434">
        <f>'Part IX Scoring Criteria'!M239</f>
        <v>0</v>
      </c>
      <c r="N1958" s="2434"/>
    </row>
    <row r="1959" spans="1:27" s="435" customFormat="1" ht="11.25" customHeight="1">
      <c r="A1959" s="2384"/>
      <c r="B1959" s="2392" t="s">
        <v>1898</v>
      </c>
      <c r="C1959" s="2160" t="s">
        <v>6556</v>
      </c>
      <c r="E1959" s="2121" t="s">
        <v>3453</v>
      </c>
      <c r="G1959" s="2230">
        <f>'Part IX Scoring Criteria'!G240</f>
        <v>0</v>
      </c>
      <c r="H1959" s="2255" t="s">
        <v>587</v>
      </c>
      <c r="I1959" s="2111">
        <f>'Part IX Scoring Criteria'!I240</f>
        <v>0</v>
      </c>
      <c r="J1959" s="2111"/>
      <c r="L1959" s="2433" t="s">
        <v>6557</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3372</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4163</v>
      </c>
      <c r="D1966" s="2379"/>
      <c r="E1966" s="2112" t="s">
        <v>6568</v>
      </c>
      <c r="G1966" s="2170"/>
      <c r="M1966" s="2108">
        <v>5</v>
      </c>
      <c r="N1966" s="2108"/>
      <c r="O1966" s="2192">
        <f>'Part IX Scoring Criteria'!O247</f>
        <v>5</v>
      </c>
      <c r="P1966" s="2192">
        <f>'Part IX Scoring Criteria'!P247</f>
        <v>0</v>
      </c>
      <c r="Q1966" s="2108" t="s">
        <v>422</v>
      </c>
      <c r="R1966" s="1858" t="s">
        <v>4265</v>
      </c>
      <c r="S1966" s="2435"/>
      <c r="T1966" s="2435"/>
      <c r="U1966" s="2435"/>
      <c r="V1966" s="2435"/>
      <c r="W1966" s="1967"/>
      <c r="X1966" s="1967"/>
    </row>
    <row r="1967" spans="1:27" s="1818" customFormat="1" ht="11.25" customHeight="1">
      <c r="A1967" s="2141" t="s">
        <v>1893</v>
      </c>
      <c r="B1967" s="1719" t="s">
        <v>7079</v>
      </c>
      <c r="M1967" s="2108">
        <v>5</v>
      </c>
      <c r="N1967" s="2255" t="s">
        <v>1893</v>
      </c>
      <c r="O1967" s="2371">
        <f>'Part IX Scoring Criteria'!O248</f>
        <v>5</v>
      </c>
      <c r="P1967" s="2192"/>
      <c r="Q1967" s="2397" t="str">
        <f>IF(OR($O1967=$M1967,$O1967=$M1967-1,$O1967=0,$O1967=""),"","*CHECK!*")</f>
        <v/>
      </c>
      <c r="R1967" s="1858" t="s">
        <v>4265</v>
      </c>
      <c r="S1967" s="2435"/>
      <c r="T1967" s="2435"/>
      <c r="U1967" s="2435"/>
      <c r="V1967" s="2435"/>
    </row>
    <row r="1968" spans="1:27" s="1818" customFormat="1" ht="11.25" customHeight="1">
      <c r="A1968" s="2141" t="s">
        <v>1895</v>
      </c>
      <c r="B1968" s="1719" t="s">
        <v>6569</v>
      </c>
      <c r="M1968" s="2108">
        <v>3</v>
      </c>
      <c r="N1968" s="2255" t="s">
        <v>1895</v>
      </c>
      <c r="O1968" s="2371">
        <f>'Part IX Scoring Criteria'!O249</f>
        <v>0</v>
      </c>
      <c r="P1968" s="2192"/>
      <c r="Q1968" s="2397" t="str">
        <f t="shared" ref="Q1968:Q1969" si="386">IF(OR($O1968=$M1968,$O1968=$M1968-1,$O1968=0,$O1968=""),"","*CHECK!*")</f>
        <v/>
      </c>
      <c r="R1968" s="1858" t="s">
        <v>4265</v>
      </c>
    </row>
    <row r="1969" spans="1:21" s="1852" customFormat="1">
      <c r="A1969" s="2141" t="s">
        <v>719</v>
      </c>
      <c r="B1969" s="1719" t="s">
        <v>6570</v>
      </c>
      <c r="E1969" s="2121" t="s">
        <v>6498</v>
      </c>
      <c r="I1969" s="2282"/>
      <c r="L1969" s="1818"/>
      <c r="M1969" s="2108">
        <v>3</v>
      </c>
      <c r="N1969" s="2255" t="s">
        <v>719</v>
      </c>
      <c r="O1969" s="2371">
        <f>'Part IX Scoring Criteria'!O250</f>
        <v>0</v>
      </c>
      <c r="P1969" s="2192"/>
      <c r="Q1969" s="2397" t="str">
        <f t="shared" si="386"/>
        <v/>
      </c>
      <c r="R1969" s="1858" t="s">
        <v>4265</v>
      </c>
    </row>
    <row r="1970" spans="1:21" s="2274" customFormat="1" ht="10.5" customHeight="1">
      <c r="A1970" s="1818"/>
      <c r="B1970" s="2156" t="s">
        <v>3372</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 xml:space="preserve">Per the DCA Interactive Map of previous awards provided in tab #35, no 9% awards have taken place in the past 15 years within The City of Flemington. </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4266</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3991</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3992</v>
      </c>
      <c r="D1978" s="2170"/>
      <c r="E1978" s="2170"/>
      <c r="F1978" s="2244"/>
      <c r="G1978" s="1852"/>
      <c r="L1978" s="2366"/>
      <c r="M1978" s="2108">
        <v>2</v>
      </c>
      <c r="N1978" s="2384" t="s">
        <v>1898</v>
      </c>
      <c r="O1978" s="2230">
        <f>'Part IX Scoring Criteria'!O259</f>
        <v>0</v>
      </c>
      <c r="P1978" s="2164"/>
      <c r="Q1978" s="2397"/>
      <c r="R1978" s="1912"/>
      <c r="T1978" s="2436"/>
      <c r="U1978" s="2436"/>
    </row>
    <row r="1979" spans="1:21" s="2284" customFormat="1" ht="10.5" customHeight="1">
      <c r="A1979" s="2141"/>
      <c r="B1979" s="2392" t="s">
        <v>2416</v>
      </c>
      <c r="C1979" s="2121" t="s">
        <v>3993</v>
      </c>
      <c r="D1979" s="2170"/>
      <c r="E1979" s="2170"/>
      <c r="F1979" s="2244"/>
      <c r="G1979" s="1852"/>
      <c r="K1979" s="2255"/>
      <c r="M1979" s="2108">
        <v>1</v>
      </c>
      <c r="N1979" s="2384" t="s">
        <v>2416</v>
      </c>
      <c r="O1979" s="2230">
        <f>'Part IX Scoring Criteria'!O260</f>
        <v>0</v>
      </c>
      <c r="P1979" s="2164"/>
      <c r="R1979" s="1967"/>
      <c r="T1979" s="2436"/>
      <c r="U1979" s="2436"/>
    </row>
    <row r="1980" spans="1:21" s="2274" customFormat="1" ht="11.25" customHeight="1">
      <c r="A1980" s="2141" t="s">
        <v>1895</v>
      </c>
      <c r="B1980" s="1719" t="s">
        <v>4154</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4155</v>
      </c>
      <c r="C1981" s="435"/>
      <c r="D1981" s="435"/>
      <c r="E1981" s="435"/>
      <c r="F1981" s="435"/>
      <c r="G1981" s="435"/>
      <c r="H1981" s="435"/>
      <c r="I1981" s="435"/>
      <c r="J1981" s="435"/>
      <c r="K1981" s="435"/>
      <c r="L1981" s="435"/>
      <c r="M1981" s="2108"/>
      <c r="N1981" s="2255"/>
      <c r="O1981" s="2264" t="str">
        <f>'Part IX Scoring Criteria'!O262</f>
        <v>No</v>
      </c>
      <c r="P1981" s="2252"/>
      <c r="Q1981" s="1967"/>
      <c r="R1981" s="2366"/>
      <c r="T1981" s="2436"/>
      <c r="U1981" s="2436"/>
    </row>
    <row r="1982" spans="1:21" s="2274" customFormat="1" ht="11.25" customHeight="1">
      <c r="A1982" s="2141" t="s">
        <v>719</v>
      </c>
      <c r="B1982" s="1719" t="s">
        <v>3994</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7167</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6500</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6542</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6501</v>
      </c>
      <c r="C1989" s="2228"/>
      <c r="D1989" s="2228"/>
      <c r="E1989" s="2228"/>
      <c r="F1989" s="2228"/>
      <c r="G1989" s="2228"/>
      <c r="H1989" s="2228"/>
      <c r="I1989" s="2228"/>
      <c r="J1989" s="2228"/>
      <c r="K1989" s="2228"/>
      <c r="L1989" s="2413"/>
      <c r="M1989" s="2108"/>
      <c r="N1989" s="2309"/>
      <c r="O1989" s="2230" t="str">
        <f>'Part IX Scoring Criteria'!O270</f>
        <v>N/a</v>
      </c>
      <c r="P1989" s="2164"/>
      <c r="Q1989" s="2108"/>
      <c r="T1989" s="2436"/>
      <c r="U1989" s="2436"/>
    </row>
    <row r="1990" spans="1:21" s="2274" customFormat="1" ht="12" customHeight="1">
      <c r="A1990" s="2141" t="s">
        <v>1893</v>
      </c>
      <c r="B1990" s="1719" t="s">
        <v>3490</v>
      </c>
      <c r="C1990" s="2112"/>
      <c r="D1990" s="2112"/>
      <c r="E1990" s="435"/>
      <c r="G1990" s="2168">
        <f>'Part VIII-Threshold Criteria'!I2051</f>
        <v>0</v>
      </c>
      <c r="I1990" s="2121" t="s">
        <v>4286</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4018</v>
      </c>
      <c r="D1991" s="1818"/>
      <c r="N1991" s="2384" t="s">
        <v>4019</v>
      </c>
      <c r="O1991" s="2230">
        <f>'Part IX Scoring Criteria'!O272</f>
        <v>0</v>
      </c>
      <c r="P1991" s="2164"/>
      <c r="R1991" s="2366"/>
    </row>
    <row r="1992" spans="1:21" s="2284" customFormat="1" ht="10.5" customHeight="1">
      <c r="A1992" s="2141"/>
      <c r="B1992" s="2384"/>
      <c r="C1992" s="435" t="s">
        <v>6502</v>
      </c>
      <c r="D1992" s="1818"/>
      <c r="N1992" s="2384" t="s">
        <v>4020</v>
      </c>
      <c r="O1992" s="2230">
        <f>'Part IX Scoring Criteria'!O273</f>
        <v>0</v>
      </c>
      <c r="P1992" s="2164"/>
      <c r="R1992" s="2366"/>
    </row>
    <row r="1993" spans="1:21" s="2284" customFormat="1" ht="10.5" customHeight="1">
      <c r="A1993" s="2141"/>
      <c r="B1993" s="2384" t="s">
        <v>1898</v>
      </c>
      <c r="C1993" s="435" t="s">
        <v>3496</v>
      </c>
      <c r="D1993" s="1818"/>
      <c r="N1993" s="2384" t="s">
        <v>1898</v>
      </c>
      <c r="O1993" s="2230">
        <f>'Part IX Scoring Criteria'!O274</f>
        <v>0</v>
      </c>
      <c r="P1993" s="2164"/>
      <c r="R1993" s="2366"/>
    </row>
    <row r="1994" spans="1:21" s="2284" customFormat="1" ht="10.5" customHeight="1">
      <c r="A1994" s="2141"/>
      <c r="B1994" s="2384" t="s">
        <v>2416</v>
      </c>
      <c r="C1994" s="435" t="s">
        <v>4021</v>
      </c>
      <c r="D1994" s="1818"/>
      <c r="N1994" s="2384" t="s">
        <v>2416</v>
      </c>
      <c r="O1994" s="2230">
        <f>'Part IX Scoring Criteria'!O275</f>
        <v>0</v>
      </c>
      <c r="P1994" s="2164"/>
      <c r="R1994" s="2366"/>
    </row>
    <row r="1995" spans="1:21" s="2284" customFormat="1" ht="10.5" customHeight="1">
      <c r="B1995" s="2384" t="s">
        <v>1178</v>
      </c>
      <c r="C1995" s="435" t="s">
        <v>3497</v>
      </c>
      <c r="D1995" s="1818"/>
      <c r="N1995" s="2384" t="s">
        <v>1178</v>
      </c>
      <c r="O1995" s="2230">
        <f>'Part IX Scoring Criteria'!O276</f>
        <v>0</v>
      </c>
      <c r="P1995" s="2164"/>
      <c r="R1995" s="2366"/>
    </row>
    <row r="1996" spans="1:21" s="2274" customFormat="1" ht="12" customHeight="1">
      <c r="A1996" s="2141" t="s">
        <v>1895</v>
      </c>
      <c r="B1996" s="1719" t="s">
        <v>3491</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4018</v>
      </c>
      <c r="D1997" s="435"/>
      <c r="E1997" s="435"/>
      <c r="M1997" s="2108"/>
      <c r="N1997" s="2384" t="s">
        <v>4019</v>
      </c>
      <c r="O1997" s="2230">
        <f>'Part IX Scoring Criteria'!O278</f>
        <v>0</v>
      </c>
      <c r="P1997" s="2164"/>
      <c r="Q1997" s="2108"/>
    </row>
    <row r="1998" spans="1:21" s="2284" customFormat="1" ht="10.5" customHeight="1">
      <c r="A1998" s="2141"/>
      <c r="B1998" s="2384"/>
      <c r="C1998" s="435" t="s">
        <v>6503</v>
      </c>
      <c r="D1998" s="1818"/>
      <c r="N1998" s="2384" t="s">
        <v>4020</v>
      </c>
      <c r="O1998" s="2230">
        <f>'Part IX Scoring Criteria'!O279</f>
        <v>0</v>
      </c>
      <c r="P1998" s="2164"/>
      <c r="R1998" s="2366"/>
    </row>
    <row r="1999" spans="1:21" s="2284" customFormat="1" ht="10.5" customHeight="1">
      <c r="A1999" s="2141"/>
      <c r="B1999" s="2384" t="s">
        <v>1898</v>
      </c>
      <c r="C1999" s="435" t="s">
        <v>3508</v>
      </c>
      <c r="D1999" s="1818"/>
      <c r="N1999" s="2384" t="s">
        <v>1898</v>
      </c>
      <c r="O1999" s="2230">
        <f>'Part IX Scoring Criteria'!O280</f>
        <v>0</v>
      </c>
      <c r="P1999" s="2164"/>
      <c r="R1999" s="2366"/>
    </row>
    <row r="2000" spans="1:21" s="2284" customFormat="1" ht="10.5" customHeight="1">
      <c r="B2000" s="2384" t="s">
        <v>2416</v>
      </c>
      <c r="C2000" s="435" t="s">
        <v>3497</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2</v>
      </c>
      <c r="P2005" s="2192"/>
      <c r="Q2005" s="2108" t="s">
        <v>422</v>
      </c>
      <c r="R2005" s="1907" t="s">
        <v>4265</v>
      </c>
      <c r="S2005" s="1907"/>
    </row>
    <row r="2006" spans="1:19" s="2274" customFormat="1" ht="11.25" customHeight="1">
      <c r="A2006" s="2141"/>
      <c r="B2006" s="2121" t="s">
        <v>3274</v>
      </c>
      <c r="D2006" s="2112"/>
      <c r="E2006" s="2112"/>
      <c r="G2006" s="435"/>
      <c r="I2006" s="2111" t="str">
        <f>'Part IX Scoring Criteria'!I287</f>
        <v>Liberty's Initiative for Community Housing, Liberty County GICH</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3372</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 xml:space="preserve">Project received a GICH letter from Libery County GICH's chairman, Georgia Holliday. We also received a letter of supprt from the Mayor of Flemmington. Both letters are provided within the application. </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7168</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3409</v>
      </c>
      <c r="L2016" s="2223"/>
      <c r="M2016" s="2223"/>
      <c r="N2016" s="2255" t="s">
        <v>2325</v>
      </c>
      <c r="O2016" s="2230">
        <f>'Part IX Scoring Criteria'!O297</f>
        <v>0</v>
      </c>
      <c r="P2016" s="2164"/>
      <c r="R2016" s="2223"/>
      <c r="S2016" s="2223"/>
    </row>
    <row r="2017" spans="1:20" s="2112" customFormat="1" ht="12.75" customHeight="1">
      <c r="B2017" s="2255" t="s">
        <v>2326</v>
      </c>
      <c r="C2017" s="435" t="s">
        <v>3408</v>
      </c>
      <c r="L2017" s="2223"/>
      <c r="M2017" s="2223"/>
      <c r="N2017" s="2255" t="s">
        <v>2326</v>
      </c>
      <c r="O2017" s="2230">
        <f>'Part IX Scoring Criteria'!O298</f>
        <v>0</v>
      </c>
      <c r="P2017" s="2164"/>
      <c r="R2017" s="2223"/>
      <c r="S2017" s="2223"/>
    </row>
    <row r="2018" spans="1:20" s="2112" customFormat="1" ht="33.75" customHeight="1">
      <c r="B2018" s="2224" t="s">
        <v>2327</v>
      </c>
      <c r="C2018" s="2223" t="s">
        <v>3995</v>
      </c>
      <c r="D2018" s="2223"/>
      <c r="E2018" s="2223"/>
      <c r="F2018" s="2223"/>
      <c r="G2018" s="2223"/>
      <c r="H2018" s="2223"/>
      <c r="I2018" s="2223"/>
      <c r="J2018" s="2223"/>
      <c r="K2018" s="2223"/>
      <c r="L2018" s="2223"/>
      <c r="M2018" s="2223"/>
      <c r="N2018" s="2224" t="s">
        <v>2327</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3494</v>
      </c>
      <c r="L2020" s="2366" t="str">
        <f>IF(O2020&lt;=M2020,"","* * Check Score! * *")</f>
        <v/>
      </c>
      <c r="M2020" s="2117">
        <v>3</v>
      </c>
      <c r="N2020" s="2255" t="s">
        <v>1893</v>
      </c>
      <c r="O2020" s="2371">
        <f>'Part IX Scoring Criteria'!O301</f>
        <v>0</v>
      </c>
      <c r="P2020" s="2192"/>
      <c r="Q2020" s="2397" t="str">
        <f>IF(O2020&lt;=M2020,"","*CHECK!*")</f>
        <v/>
      </c>
      <c r="R2020" s="1856" t="s">
        <v>4265</v>
      </c>
      <c r="S2020" s="1856"/>
      <c r="T2020" s="1907"/>
    </row>
    <row r="2021" spans="1:20" s="1852" customFormat="1" ht="12.75" customHeight="1">
      <c r="A2021" s="2417"/>
      <c r="B2021" s="2439" t="s">
        <v>1896</v>
      </c>
      <c r="C2021" s="2223" t="s">
        <v>3998</v>
      </c>
      <c r="D2021" s="2223"/>
      <c r="E2021" s="2223"/>
      <c r="F2021" s="2223"/>
      <c r="G2021" s="2223"/>
      <c r="H2021" s="2223"/>
      <c r="I2021" s="2223"/>
      <c r="R2021" s="1856"/>
      <c r="S2021" s="1856"/>
      <c r="T2021" s="1907"/>
    </row>
    <row r="2022" spans="1:20" s="1852" customFormat="1" ht="12.75" customHeight="1">
      <c r="A2022" s="2417"/>
      <c r="B2022" s="2392"/>
      <c r="C2022" s="2223" t="s">
        <v>3997</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3276</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4156</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6504</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3275</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6850</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3277</v>
      </c>
      <c r="C2032" s="435" t="s">
        <v>4000</v>
      </c>
      <c r="I2032" s="2255" t="s">
        <v>3277</v>
      </c>
      <c r="J2032" s="2182">
        <f>'Part IX Scoring Criteria'!J313</f>
        <v>0</v>
      </c>
      <c r="K2032" s="2182"/>
      <c r="L2032" s="2255" t="s">
        <v>3277</v>
      </c>
      <c r="M2032" s="2174"/>
      <c r="N2032" s="2174"/>
      <c r="O2032" s="2174"/>
      <c r="P2032" s="2174"/>
      <c r="R2032" s="2366"/>
    </row>
    <row r="2033" spans="1:22" s="1852" customFormat="1" ht="12.75" customHeight="1">
      <c r="B2033" s="2255" t="s">
        <v>6505</v>
      </c>
      <c r="C2033" s="435" t="s">
        <v>7169</v>
      </c>
      <c r="I2033" s="2255" t="s">
        <v>6505</v>
      </c>
      <c r="J2033" s="2182">
        <f>'Part IX Scoring Criteria'!J314</f>
        <v>0</v>
      </c>
      <c r="K2033" s="2182"/>
      <c r="L2033" s="2255" t="s">
        <v>6505</v>
      </c>
      <c r="M2033" s="2174"/>
      <c r="N2033" s="2174"/>
      <c r="O2033" s="2174"/>
      <c r="P2033" s="2174"/>
      <c r="R2033" s="2366"/>
    </row>
    <row r="2034" spans="1:22" s="1852" customFormat="1" ht="12.75" customHeight="1">
      <c r="B2034" s="2067" t="s">
        <v>7080</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6507</v>
      </c>
      <c r="H2036" s="1852"/>
      <c r="I2036" s="1852"/>
      <c r="J2036" s="2174">
        <f>'Part VI-Revenues &amp; Expenses'!$P$67</f>
        <v>72</v>
      </c>
      <c r="K2036" s="2174"/>
      <c r="L2036" s="1864"/>
      <c r="M2036" s="1856"/>
      <c r="N2036" s="1856"/>
      <c r="O2036" s="2441"/>
      <c r="P2036" s="1856"/>
    </row>
    <row r="2037" spans="1:22" s="1852" customFormat="1" ht="13.5" customHeight="1">
      <c r="C2037" s="1864"/>
      <c r="D2037" s="1864"/>
      <c r="E2037" s="1864"/>
      <c r="F2037" s="2290" t="s">
        <v>6508</v>
      </c>
      <c r="J2037" s="2442">
        <f>J2034/J2036</f>
        <v>0</v>
      </c>
      <c r="K2037" s="2442"/>
      <c r="M2037" s="2442">
        <f>IF($J2036=0,0,$M2034/$J2036)</f>
        <v>0</v>
      </c>
      <c r="N2037" s="2442"/>
      <c r="O2037" s="2442"/>
      <c r="P2037" s="2442"/>
    </row>
    <row r="2038" spans="1:22" s="2274" customFormat="1" ht="12.75" customHeight="1">
      <c r="C2038" s="1864"/>
      <c r="D2038" s="1864"/>
      <c r="E2038" s="1864"/>
      <c r="F2038" s="2112" t="s">
        <v>6509</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3278</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4265</v>
      </c>
      <c r="V2040" s="2436"/>
    </row>
    <row r="2041" spans="1:22" s="2274" customFormat="1" ht="22.5" customHeight="1">
      <c r="A2041" s="2141"/>
      <c r="B2041" s="2392" t="s">
        <v>1896</v>
      </c>
      <c r="C2041" s="2223" t="s">
        <v>3495</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3403</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4002</v>
      </c>
      <c r="N2043" s="2384" t="s">
        <v>2416</v>
      </c>
      <c r="O2043" s="2264">
        <f>'Part IX Scoring Criteria'!O324</f>
        <v>0</v>
      </c>
      <c r="P2043" s="2164"/>
    </row>
    <row r="2044" spans="1:22" s="1852" customFormat="1" ht="12" customHeight="1">
      <c r="B2044" s="2156" t="s">
        <v>3372</v>
      </c>
      <c r="N2044" s="2051"/>
      <c r="O2044" s="2051"/>
      <c r="P2044" s="2051"/>
    </row>
    <row r="2045" spans="1:22" s="2274" customFormat="1" ht="21.75" customHeight="1">
      <c r="A2045" s="2226" t="str">
        <f>'Part IX Scoring Criteria'!A326</f>
        <v>NA</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2566</v>
      </c>
      <c r="D2049" s="2121"/>
      <c r="G2049" s="2170" t="s">
        <v>7154</v>
      </c>
      <c r="I2049" s="2044" t="s">
        <v>6542</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4157</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4265</v>
      </c>
    </row>
    <row r="2054" spans="1:19" s="2391" customFormat="1" ht="12" customHeight="1">
      <c r="A2054" s="2309"/>
      <c r="B2054" s="435" t="s">
        <v>7170</v>
      </c>
      <c r="C2054" s="435"/>
      <c r="D2054" s="435"/>
      <c r="E2054" s="435"/>
      <c r="F2054" s="435"/>
      <c r="G2054" s="435"/>
      <c r="H2054" s="435"/>
      <c r="I2054" s="435"/>
      <c r="J2054" s="435"/>
      <c r="K2054" s="435"/>
      <c r="L2054" s="435"/>
      <c r="M2054" s="1905" t="s">
        <v>7171</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72</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7172</v>
      </c>
      <c r="B2060" s="2223" t="s">
        <v>4158</v>
      </c>
      <c r="C2060" s="2223"/>
      <c r="H2060" s="2223"/>
      <c r="M2060" s="2309">
        <v>2</v>
      </c>
      <c r="N2060" s="2224" t="s">
        <v>1895</v>
      </c>
      <c r="O2060" s="2371">
        <f>'Part IX Scoring Criteria'!O341</f>
        <v>0</v>
      </c>
      <c r="P2060" s="2371"/>
      <c r="Q2060" s="2397" t="str">
        <f>IF(OR($O2060=$M2060,$O2060=0,$O2060=""),"","*CHECK!*")</f>
        <v/>
      </c>
      <c r="R2060" s="1858" t="s">
        <v>4265</v>
      </c>
    </row>
    <row r="2061" spans="1:19" s="2391" customFormat="1" ht="11.25" customHeight="1">
      <c r="A2061" s="2445"/>
      <c r="B2061" s="2223" t="s">
        <v>7081</v>
      </c>
      <c r="C2061" s="2223"/>
      <c r="D2061" s="2223"/>
      <c r="E2061" s="2223"/>
      <c r="F2061" s="2223"/>
      <c r="G2061" s="2223"/>
      <c r="H2061" s="2223"/>
      <c r="I2061" s="2223"/>
      <c r="J2061" s="2223"/>
      <c r="K2061" s="2223"/>
      <c r="L2061" s="2223"/>
      <c r="M2061" s="1967" t="s">
        <v>4003</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72</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3372</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4240</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3300</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3301</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3302</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6512</v>
      </c>
      <c r="C2077" s="2228"/>
      <c r="D2077" s="2228"/>
      <c r="E2077" s="2228"/>
      <c r="F2077" s="2228"/>
      <c r="G2077" s="2170" t="s">
        <v>7154</v>
      </c>
      <c r="H2077" s="2228"/>
      <c r="I2077" s="2121" t="s">
        <v>3986</v>
      </c>
      <c r="J2077" s="2121" t="str">
        <f>'Part I-Project Information'!$H$77</f>
        <v>Family</v>
      </c>
      <c r="K2077" s="2228"/>
      <c r="L2077" s="2228"/>
      <c r="M2077" s="2108">
        <v>2</v>
      </c>
      <c r="N2077" s="2309"/>
      <c r="O2077" s="2371">
        <f>'Part IX Scoring Criteria'!O358</f>
        <v>2</v>
      </c>
      <c r="P2077" s="2192"/>
      <c r="Q2077" s="2108" t="s">
        <v>422</v>
      </c>
      <c r="R2077" s="1858" t="s">
        <v>2554</v>
      </c>
    </row>
    <row r="2078" spans="1:18" s="2274" customFormat="1" ht="12" customHeight="1">
      <c r="A2078" s="2141" t="s">
        <v>1893</v>
      </c>
      <c r="B2078" s="1719" t="s">
        <v>6515</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6518</v>
      </c>
      <c r="D2080" s="2121" t="s">
        <v>6558</v>
      </c>
      <c r="E2080" s="2121"/>
      <c r="F2080" s="2121"/>
      <c r="G2080" s="2121"/>
      <c r="H2080" s="2121"/>
      <c r="K2080" s="2121"/>
      <c r="L2080" s="2121"/>
      <c r="N2080" s="2108"/>
      <c r="O2080" s="435" t="s">
        <v>4263</v>
      </c>
      <c r="P2080" s="435"/>
      <c r="Q2080" s="2108"/>
    </row>
    <row r="2081" spans="1:23" s="2274" customFormat="1" ht="10.5" customHeight="1">
      <c r="A2081" s="2373"/>
      <c r="B2081" s="2270" t="s">
        <v>2324</v>
      </c>
      <c r="C2081" s="2112" t="s">
        <v>6513</v>
      </c>
      <c r="N2081" s="2270" t="s">
        <v>2324</v>
      </c>
      <c r="O2081" s="2446" t="str">
        <f>'Part IX Scoring Criteria'!O362</f>
        <v>Agree</v>
      </c>
      <c r="P2081" s="2372"/>
    </row>
    <row r="2082" spans="1:23" s="2391" customFormat="1" ht="21.75" customHeight="1">
      <c r="A2082" s="2257"/>
      <c r="B2082" s="2224" t="s">
        <v>2325</v>
      </c>
      <c r="C2082" s="2223" t="s">
        <v>6514</v>
      </c>
      <c r="D2082" s="2223"/>
      <c r="E2082" s="2223"/>
      <c r="F2082" s="2223"/>
      <c r="G2082" s="2223"/>
      <c r="H2082" s="2223"/>
      <c r="I2082" s="2223"/>
      <c r="J2082" s="2223"/>
      <c r="K2082" s="2223"/>
      <c r="L2082" s="2223"/>
      <c r="M2082" s="2223"/>
      <c r="N2082" s="2224" t="s">
        <v>2325</v>
      </c>
      <c r="O2082" s="2447" t="str">
        <f>'Part IX Scoring Criteria'!O363</f>
        <v>Agree</v>
      </c>
      <c r="P2082" s="2028"/>
    </row>
    <row r="2083" spans="1:23" s="2391" customFormat="1" ht="21.75" customHeight="1">
      <c r="A2083" s="2257"/>
      <c r="B2083" s="2224" t="s">
        <v>2326</v>
      </c>
      <c r="C2083" s="2223" t="s">
        <v>6516</v>
      </c>
      <c r="D2083" s="2223"/>
      <c r="E2083" s="2223"/>
      <c r="F2083" s="2223"/>
      <c r="G2083" s="2223"/>
      <c r="H2083" s="2223"/>
      <c r="I2083" s="2223"/>
      <c r="J2083" s="2223"/>
      <c r="K2083" s="2223"/>
      <c r="L2083" s="2223"/>
      <c r="M2083" s="2223"/>
      <c r="N2083" s="2224" t="s">
        <v>2326</v>
      </c>
      <c r="O2083" s="2447" t="str">
        <f>'Part IX Scoring Criteria'!O364</f>
        <v>Agree</v>
      </c>
      <c r="P2083" s="2028"/>
    </row>
    <row r="2084" spans="1:23" s="2284" customFormat="1" ht="11.25" customHeight="1">
      <c r="B2084" s="2255" t="s">
        <v>2327</v>
      </c>
      <c r="C2084" s="435" t="s">
        <v>6517</v>
      </c>
      <c r="N2084" s="2255" t="s">
        <v>2327</v>
      </c>
      <c r="O2084" s="2136" t="str">
        <f>'Part IX Scoring Criteria'!O365</f>
        <v>Agree</v>
      </c>
      <c r="P2084" s="2044"/>
    </row>
    <row r="2085" spans="1:23" s="2284" customFormat="1" ht="11.25" customHeight="1">
      <c r="A2085" s="2306"/>
      <c r="B2085" s="2121" t="s">
        <v>6519</v>
      </c>
      <c r="D2085" s="2121"/>
      <c r="E2085" s="2121"/>
      <c r="F2085" s="2121"/>
      <c r="G2085" s="2121"/>
      <c r="H2085" s="2121" t="s">
        <v>6558</v>
      </c>
      <c r="K2085" s="2121"/>
      <c r="L2085" s="2121"/>
      <c r="M2085" s="2108"/>
      <c r="N2085" s="2108"/>
      <c r="O2085" s="2112" t="s">
        <v>4263</v>
      </c>
      <c r="P2085" s="2112"/>
      <c r="Q2085" s="2108"/>
    </row>
    <row r="2086" spans="1:23" s="2274" customFormat="1" ht="12.75" customHeight="1">
      <c r="A2086" s="2373"/>
      <c r="B2086" s="2270" t="s">
        <v>2324</v>
      </c>
      <c r="C2086" s="2298" t="s">
        <v>6520</v>
      </c>
      <c r="D2086" s="2298"/>
      <c r="E2086" s="2298"/>
      <c r="F2086" s="2298"/>
      <c r="G2086" s="2298"/>
      <c r="H2086" s="2298"/>
      <c r="I2086" s="2298"/>
      <c r="J2086" s="2298"/>
      <c r="K2086" s="2298"/>
      <c r="L2086" s="2298"/>
      <c r="N2086" s="2270" t="s">
        <v>2324</v>
      </c>
      <c r="O2086" s="2446" t="str">
        <f>'Part IX Scoring Criteria'!O367</f>
        <v>N/a</v>
      </c>
      <c r="P2086" s="2372"/>
    </row>
    <row r="2087" spans="1:23" s="2274" customFormat="1" ht="12.75" customHeight="1">
      <c r="A2087" s="2373"/>
      <c r="B2087" s="2270" t="s">
        <v>2325</v>
      </c>
      <c r="C2087" s="2298" t="s">
        <v>6521</v>
      </c>
      <c r="D2087" s="2298"/>
      <c r="E2087" s="2298"/>
      <c r="F2087" s="2298"/>
      <c r="G2087" s="2298"/>
      <c r="H2087" s="2298"/>
      <c r="I2087" s="2298"/>
      <c r="J2087" s="2298"/>
      <c r="K2087" s="2298"/>
      <c r="L2087" s="2298"/>
      <c r="M2087" s="2112"/>
      <c r="N2087" s="2270" t="s">
        <v>2325</v>
      </c>
      <c r="O2087" s="2446" t="str">
        <f>'Part IX Scoring Criteria'!O368</f>
        <v>N/a</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6522</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6558</v>
      </c>
      <c r="C2090" s="2255"/>
      <c r="D2090" s="2255"/>
      <c r="E2090" s="2255"/>
      <c r="F2090" s="2255"/>
      <c r="J2090" s="2223"/>
      <c r="K2090" s="2223"/>
      <c r="L2090" s="2223"/>
      <c r="N2090" s="2051"/>
      <c r="O2090" s="2112" t="s">
        <v>4263</v>
      </c>
      <c r="P2090" s="2112"/>
      <c r="Q2090" s="1912"/>
      <c r="R2090" s="2274"/>
      <c r="S2090" s="2274"/>
      <c r="T2090" s="2274"/>
      <c r="U2090" s="2274"/>
    </row>
    <row r="2091" spans="1:23" s="2391" customFormat="1" ht="11.25" customHeight="1">
      <c r="A2091" s="2448"/>
      <c r="B2091" s="2392" t="s">
        <v>1896</v>
      </c>
      <c r="C2091" s="2449" t="s">
        <v>6559</v>
      </c>
      <c r="D2091" s="2449"/>
      <c r="E2091" s="2449"/>
      <c r="F2091" s="2449"/>
      <c r="G2091" s="2449"/>
      <c r="H2091" s="2449"/>
      <c r="I2091" s="2449"/>
      <c r="J2091" s="2449"/>
      <c r="K2091" s="2449"/>
      <c r="L2091" s="2449"/>
      <c r="M2091" s="2449"/>
      <c r="N2091" s="2359" t="s">
        <v>1896</v>
      </c>
      <c r="O2091" s="2447" t="str">
        <f>'Part IX Scoring Criteria'!O372</f>
        <v>N/a</v>
      </c>
      <c r="P2091" s="2028"/>
      <c r="Q2091" s="2309"/>
    </row>
    <row r="2092" spans="1:23" s="2284" customFormat="1" ht="11.25" customHeight="1">
      <c r="A2092" s="2306"/>
      <c r="B2092" s="2392" t="s">
        <v>1898</v>
      </c>
      <c r="C2092" s="2449" t="s">
        <v>6560</v>
      </c>
      <c r="D2092" s="2449"/>
      <c r="E2092" s="2449"/>
      <c r="F2092" s="2449"/>
      <c r="G2092" s="2449"/>
      <c r="H2092" s="2449"/>
      <c r="I2092" s="2449"/>
      <c r="J2092" s="2449"/>
      <c r="K2092" s="2449"/>
      <c r="L2092" s="2449"/>
      <c r="M2092" s="2449"/>
      <c r="N2092" s="2359" t="s">
        <v>1898</v>
      </c>
      <c r="O2092" s="2447" t="str">
        <f>'Part IX Scoring Criteria'!O373</f>
        <v>N/a</v>
      </c>
      <c r="P2092" s="2028"/>
      <c r="Q2092" s="2108"/>
    </row>
    <row r="2093" spans="1:23" s="2274" customFormat="1" ht="11.25" customHeight="1">
      <c r="A2093" s="1818"/>
      <c r="B2093" s="2156" t="s">
        <v>3372</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The development commits to signing an annual MOU with DCA. The project's management company will help faciliate this MOU with DCA. The project is a Family project, and contains the required 20% of units to set aside per the requirements of this section. The application includes a completed DCA Housing Assistance Competitive Ranking form with supporting documentation demonstrating why this development fits the criteria for these points. </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6524</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6525</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6526</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6527</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6851</v>
      </c>
      <c r="C2114" s="2112"/>
      <c r="D2114" s="2112"/>
      <c r="E2114" s="435"/>
      <c r="G2114" s="2112"/>
      <c r="I2114" s="1967" t="s">
        <v>6530</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65.5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7082</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4168</v>
      </c>
      <c r="B2128" s="2453"/>
      <c r="C2128" s="2453"/>
      <c r="D2128" s="2453"/>
      <c r="E2128" s="2453"/>
      <c r="F2128" s="2453"/>
      <c r="G2128" s="2453"/>
      <c r="H2128" s="2453"/>
    </row>
    <row r="2129" spans="1:11" s="2454" customFormat="1" ht="18.75">
      <c r="A2129" s="2453" t="s">
        <v>4169</v>
      </c>
      <c r="B2129" s="2453"/>
      <c r="C2129" s="2453"/>
      <c r="D2129" s="2453"/>
      <c r="E2129" s="2453"/>
      <c r="F2129" s="2453"/>
      <c r="G2129" s="2453"/>
      <c r="H2129" s="2453"/>
    </row>
    <row r="2130" spans="1:11" s="2454" customFormat="1" ht="15" customHeight="1">
      <c r="A2130" s="2455" t="s">
        <v>4170</v>
      </c>
      <c r="B2130" s="2456"/>
      <c r="C2130" s="2456"/>
      <c r="D2130" s="2457">
        <f>'Part I-Project Information'!F2114</f>
        <v>0</v>
      </c>
      <c r="E2130" s="2457"/>
      <c r="F2130" s="2457"/>
      <c r="G2130" s="2457"/>
      <c r="H2130" s="2457"/>
      <c r="I2130" s="2457"/>
      <c r="J2130" s="2458" t="s">
        <v>6421</v>
      </c>
      <c r="K2130" s="2458"/>
    </row>
    <row r="2131" spans="1:11" s="2454" customFormat="1" ht="15" customHeight="1">
      <c r="A2131" s="2455" t="s">
        <v>4171</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4212</v>
      </c>
      <c r="K2131" s="2458"/>
    </row>
    <row r="2132" spans="1:11" s="2454" customFormat="1" ht="15" customHeight="1">
      <c r="A2132" s="2455" t="s">
        <v>4172</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4174</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4175</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4176</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4177</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4178</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4179</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4180</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4181</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4182</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4183</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4184</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4185</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4186</v>
      </c>
      <c r="C2151" s="2466"/>
      <c r="D2151" s="2466"/>
      <c r="E2151" s="2466"/>
      <c r="F2151" s="2466"/>
      <c r="G2151" s="2466"/>
      <c r="H2151" s="2466"/>
      <c r="I2151" s="2466"/>
      <c r="J2151" s="2466"/>
      <c r="K2151" s="2467"/>
    </row>
    <row r="2152" spans="1:13" s="2454" customFormat="1" ht="14.25" customHeight="1">
      <c r="A2152" s="2469" t="s">
        <v>7173</v>
      </c>
      <c r="C2152" s="2466"/>
      <c r="D2152" s="2466"/>
      <c r="E2152" s="2466"/>
      <c r="F2152" s="2466"/>
      <c r="G2152" s="2466"/>
      <c r="H2152" s="2466"/>
      <c r="I2152" s="2466"/>
      <c r="J2152" s="2466"/>
      <c r="K2152" s="2467"/>
    </row>
    <row r="2153" spans="1:13" s="2454" customFormat="1" ht="14.25" customHeight="1">
      <c r="A2153" s="2469" t="s">
        <v>7174</v>
      </c>
      <c r="C2153" s="2466"/>
      <c r="D2153" s="2466"/>
      <c r="E2153" s="2466"/>
      <c r="F2153" s="2466"/>
      <c r="G2153" s="2466"/>
      <c r="H2153" s="2466"/>
      <c r="I2153" s="2466"/>
      <c r="J2153" s="2466"/>
      <c r="K2153" s="2467"/>
    </row>
    <row r="2154" spans="1:13" s="2454" customFormat="1" ht="14.25" customHeight="1">
      <c r="A2154" s="2469" t="s">
        <v>7175</v>
      </c>
      <c r="C2154" s="2466"/>
      <c r="D2154" s="2466"/>
      <c r="E2154" s="2466"/>
      <c r="F2154" s="2466"/>
      <c r="G2154" s="2466"/>
      <c r="H2154" s="2466"/>
      <c r="I2154" s="2466"/>
      <c r="J2154" s="2466"/>
      <c r="K2154" s="2467"/>
    </row>
    <row r="2155" spans="1:13" s="2454" customFormat="1" ht="14.25" customHeight="1">
      <c r="A2155" s="2469" t="s">
        <v>7176</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4216</v>
      </c>
      <c r="B2157" s="2458"/>
      <c r="C2157" s="2458"/>
      <c r="D2157" s="2458"/>
      <c r="E2157" s="2458"/>
      <c r="F2157" s="2458"/>
      <c r="G2157" s="2458"/>
      <c r="H2157" s="2458"/>
      <c r="I2157" s="2458"/>
      <c r="J2157" s="2458"/>
      <c r="K2157" s="2458"/>
    </row>
    <row r="2158" spans="1:13" s="2454" customFormat="1" ht="16.5">
      <c r="B2158" s="2458" t="s">
        <v>6421</v>
      </c>
      <c r="C2158" s="2458"/>
      <c r="D2158" s="2458"/>
      <c r="E2158" s="2458"/>
      <c r="F2158" s="2458"/>
      <c r="G2158" s="2458" t="s">
        <v>4187</v>
      </c>
      <c r="H2158" s="2458"/>
      <c r="I2158" s="2458"/>
      <c r="J2158" s="2458"/>
      <c r="K2158" s="2458"/>
    </row>
    <row r="2159" spans="1:13" s="2454" customFormat="1" ht="56.25" customHeight="1">
      <c r="B2159" s="2465" t="s">
        <v>7177</v>
      </c>
      <c r="C2159" s="2465" t="s">
        <v>7178</v>
      </c>
      <c r="D2159" s="2465" t="s">
        <v>7179</v>
      </c>
      <c r="E2159" s="2470" t="s">
        <v>6313</v>
      </c>
      <c r="F2159" s="2470"/>
      <c r="G2159" s="2465" t="s">
        <v>4188</v>
      </c>
      <c r="H2159" s="2465" t="s">
        <v>4189</v>
      </c>
      <c r="J2159" s="2465" t="s">
        <v>4190</v>
      </c>
      <c r="K2159" s="2465" t="s">
        <v>4191</v>
      </c>
      <c r="L2159" s="2471" t="s">
        <v>4192</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4193</v>
      </c>
      <c r="H2179" s="2482" t="e">
        <f>SUM(H2160:H2178)</f>
        <v>#VALUE!</v>
      </c>
      <c r="I2179" s="2456"/>
      <c r="J2179" s="2480" t="s">
        <v>4194</v>
      </c>
      <c r="K2179" s="2462" t="e">
        <f>SUM(K2160:K2178)</f>
        <v>#VALUE!</v>
      </c>
      <c r="L2179" s="2471"/>
      <c r="M2179" s="2471"/>
    </row>
    <row r="2180" spans="1:13" s="2454" customFormat="1" ht="15" customHeight="1">
      <c r="B2180" s="2480"/>
      <c r="C2180" s="2456" t="s">
        <v>4195</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4196</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4197</v>
      </c>
    </row>
    <row r="2184" spans="1:13" s="2454" customFormat="1" ht="48" customHeight="1">
      <c r="C2184" s="2465" t="s">
        <v>4198</v>
      </c>
      <c r="D2184" s="2465" t="s">
        <v>6273</v>
      </c>
      <c r="E2184" s="2454" t="s">
        <v>4214</v>
      </c>
      <c r="G2184" s="2470" t="s">
        <v>4199</v>
      </c>
      <c r="H2184" s="2470"/>
      <c r="I2184" s="2454" t="s">
        <v>4213</v>
      </c>
    </row>
    <row r="2185" spans="1:13" s="2454" customFormat="1" ht="15" customHeight="1">
      <c r="A2185" s="2465"/>
      <c r="C2185" s="2483" t="e">
        <f>SUMIF(C2160:C2178, "0", H2160:H2178)</f>
        <v>#VALUE!</v>
      </c>
      <c r="D2185" s="2465" t="e">
        <f t="shared" ref="D2185:D2190" si="389">ROUNDUP(C2185*1.1,0)</f>
        <v>#VALUE!</v>
      </c>
      <c r="E2185" s="2456" t="s">
        <v>4200</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4201</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4202</v>
      </c>
      <c r="F2190" s="2456"/>
      <c r="G2190" s="2484">
        <v>303489.59999999998</v>
      </c>
      <c r="H2190" s="2484"/>
      <c r="I2190" s="2485">
        <f t="shared" si="390"/>
        <v>0</v>
      </c>
      <c r="J2190" s="2485"/>
    </row>
    <row r="2191" spans="1:13" s="2454" customFormat="1" ht="16.5">
      <c r="A2191" s="2465" t="s">
        <v>4203</v>
      </c>
      <c r="B2191" s="2482" t="e">
        <f>SUM(C2185:C2190)</f>
        <v>#VALUE!</v>
      </c>
      <c r="C2191" s="2465"/>
      <c r="D2191" s="2465" t="e">
        <f>SUM(D2185:D2190)</f>
        <v>#VALUE!</v>
      </c>
      <c r="J2191" s="2481" t="s">
        <v>4204</v>
      </c>
      <c r="K2191" s="2486" t="e">
        <f>SUM(I2185:I2189)</f>
        <v>#VALUE!</v>
      </c>
    </row>
    <row r="2192" spans="1:13" s="2454" customFormat="1" ht="16.5"/>
    <row r="2193" spans="1:11" s="2454" customFormat="1" ht="16.5">
      <c r="A2193" s="2454" t="s">
        <v>4205</v>
      </c>
    </row>
    <row r="2194" spans="1:11" s="2454" customFormat="1" ht="15" customHeight="1">
      <c r="A2194" s="2465"/>
      <c r="E2194" s="2454" t="s">
        <v>4206</v>
      </c>
      <c r="K2194" s="2470">
        <f>J2138</f>
        <v>0</v>
      </c>
    </row>
    <row r="2195" spans="1:11" s="2454" customFormat="1" ht="16.5">
      <c r="A2195" s="2465"/>
      <c r="E2195" s="2454" t="s">
        <v>4207</v>
      </c>
      <c r="K2195" s="2470" t="e">
        <f>K2181</f>
        <v>#VALUE!</v>
      </c>
    </row>
    <row r="2196" spans="1:11" s="2454" customFormat="1" ht="16.5">
      <c r="A2196" s="2465"/>
      <c r="E2196" s="2454" t="s">
        <v>4208</v>
      </c>
      <c r="K2196" s="2470" t="e">
        <f>K2191</f>
        <v>#VALUE!</v>
      </c>
    </row>
    <row r="2197" spans="1:11" s="2454" customFormat="1" ht="16.5">
      <c r="A2197" s="2465"/>
      <c r="C2197" s="2456" t="s">
        <v>4209</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Y06zDSyvjDGr0w+f5LwO8pqMMC/qF2zcOI8Xg/803ERQ9WZ9lE143merX9KSaZB5HnwdrJDTXWMQPfidmB2jhQ==" saltValue="HV5TLoRfPn2uYdlj08Bst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790167A8-F215-4250-9BFA-C7A9E881C9FD}">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22"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60" t="s">
        <v>2582</v>
      </c>
      <c r="B5" s="4760"/>
      <c r="C5" s="4760"/>
      <c r="D5" s="4760"/>
      <c r="E5" s="4760"/>
      <c r="F5" s="4760"/>
      <c r="G5" s="4760"/>
      <c r="H5" s="4760"/>
      <c r="I5" s="4760"/>
      <c r="J5" s="4760"/>
      <c r="K5" s="4760"/>
      <c r="L5" s="4760"/>
      <c r="M5" s="4760"/>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57" t="s">
        <v>1817</v>
      </c>
      <c r="B9" s="4757"/>
      <c r="C9" s="4757"/>
      <c r="D9" s="4757"/>
      <c r="E9" s="4757"/>
      <c r="F9" s="4757"/>
      <c r="G9" s="4757"/>
      <c r="H9" s="4757"/>
      <c r="I9" s="4757"/>
      <c r="J9" s="4757"/>
      <c r="K9" s="4757"/>
      <c r="L9" s="4757"/>
      <c r="M9" s="4757"/>
    </row>
    <row r="10" spans="1:26" ht="6.75" customHeight="1">
      <c r="A10" s="4757"/>
      <c r="B10" s="4757"/>
      <c r="C10" s="4757"/>
      <c r="D10" s="4757"/>
      <c r="E10" s="4757"/>
      <c r="F10" s="4757"/>
      <c r="G10" s="4757"/>
      <c r="H10" s="4757"/>
      <c r="I10" s="4757"/>
      <c r="J10" s="4757"/>
      <c r="K10" s="4757"/>
      <c r="L10" s="4757"/>
      <c r="M10" s="4757"/>
    </row>
    <row r="11" spans="1:26" ht="44.25" customHeight="1">
      <c r="A11" s="4761" t="s">
        <v>6429</v>
      </c>
      <c r="B11" s="4761"/>
      <c r="C11" s="4761"/>
      <c r="D11" s="4761"/>
      <c r="E11" s="4761"/>
      <c r="F11" s="4761"/>
      <c r="G11" s="4761"/>
      <c r="H11" s="4761"/>
      <c r="I11" s="4761"/>
      <c r="J11" s="4761"/>
      <c r="K11" s="4761"/>
      <c r="L11" s="4761"/>
      <c r="M11" s="4761"/>
    </row>
    <row r="12" spans="1:26" ht="3" customHeight="1">
      <c r="A12" s="4757"/>
      <c r="B12" s="4757"/>
      <c r="C12" s="4757"/>
      <c r="D12" s="4757"/>
      <c r="E12" s="4757"/>
      <c r="F12" s="4757"/>
      <c r="G12" s="4757"/>
      <c r="H12" s="4757"/>
      <c r="I12" s="4757"/>
      <c r="J12" s="4757"/>
      <c r="K12" s="4757"/>
      <c r="L12" s="4757"/>
      <c r="M12" s="4757"/>
    </row>
    <row r="13" spans="1:26" ht="101.25" customHeight="1">
      <c r="A13" s="3128" t="s">
        <v>1658</v>
      </c>
      <c r="B13" s="4758" t="s">
        <v>3314</v>
      </c>
      <c r="C13" s="4758"/>
      <c r="D13" s="4758"/>
      <c r="E13" s="4758"/>
      <c r="F13" s="4758"/>
      <c r="G13" s="4758"/>
      <c r="H13" s="4758"/>
      <c r="I13" s="4758"/>
      <c r="J13" s="4758"/>
      <c r="K13" s="4758"/>
      <c r="L13" s="4758"/>
      <c r="M13" s="4758"/>
      <c r="U13" s="3122" t="s">
        <v>6576</v>
      </c>
    </row>
    <row r="14" spans="1:26" ht="47.25" customHeight="1">
      <c r="A14" s="3128" t="s">
        <v>1659</v>
      </c>
      <c r="B14" s="4758" t="s">
        <v>3315</v>
      </c>
      <c r="C14" s="4758"/>
      <c r="D14" s="4758"/>
      <c r="E14" s="4758"/>
      <c r="F14" s="4758"/>
      <c r="G14" s="4758"/>
      <c r="H14" s="4758"/>
      <c r="I14" s="4758"/>
      <c r="J14" s="4758"/>
      <c r="K14" s="4758"/>
      <c r="L14" s="4758"/>
      <c r="M14" s="4758"/>
    </row>
    <row r="15" spans="1:26" ht="117" customHeight="1">
      <c r="A15" s="3128" t="s">
        <v>1660</v>
      </c>
      <c r="B15" s="4758" t="s">
        <v>3316</v>
      </c>
      <c r="C15" s="4758"/>
      <c r="D15" s="4758"/>
      <c r="E15" s="4758"/>
      <c r="F15" s="4758"/>
      <c r="G15" s="4758"/>
      <c r="H15" s="4758"/>
      <c r="I15" s="4758"/>
      <c r="J15" s="4758"/>
      <c r="K15" s="4758"/>
      <c r="L15" s="4758"/>
      <c r="M15" s="4758"/>
    </row>
    <row r="16" spans="1:26" ht="147" customHeight="1">
      <c r="A16" s="3128" t="s">
        <v>2260</v>
      </c>
      <c r="B16" s="4758" t="s">
        <v>3190</v>
      </c>
      <c r="C16" s="4758"/>
      <c r="D16" s="4758"/>
      <c r="E16" s="4758"/>
      <c r="F16" s="4758"/>
      <c r="G16" s="4758"/>
      <c r="H16" s="4758"/>
      <c r="I16" s="4758"/>
      <c r="J16" s="4758"/>
      <c r="K16" s="4758"/>
      <c r="L16" s="4758"/>
      <c r="M16" s="4758"/>
    </row>
    <row r="17" spans="1:13" ht="48.75" customHeight="1">
      <c r="A17" s="3128" t="s">
        <v>1487</v>
      </c>
      <c r="B17" s="4758" t="s">
        <v>653</v>
      </c>
      <c r="C17" s="4758"/>
      <c r="D17" s="4758"/>
      <c r="E17" s="4758"/>
      <c r="F17" s="4758"/>
      <c r="G17" s="4758"/>
      <c r="H17" s="4758"/>
      <c r="I17" s="4758"/>
      <c r="J17" s="4758"/>
      <c r="K17" s="4758"/>
      <c r="L17" s="4758"/>
      <c r="M17" s="4758"/>
    </row>
    <row r="18" spans="1:13" ht="165" customHeight="1">
      <c r="A18" s="3128" t="s">
        <v>1488</v>
      </c>
      <c r="B18" s="4758" t="s">
        <v>3189</v>
      </c>
      <c r="C18" s="4758"/>
      <c r="D18" s="4758"/>
      <c r="E18" s="4758"/>
      <c r="F18" s="4758"/>
      <c r="G18" s="4758"/>
      <c r="H18" s="4758"/>
      <c r="I18" s="4758"/>
      <c r="J18" s="4758"/>
      <c r="K18" s="4758"/>
      <c r="L18" s="4758"/>
      <c r="M18" s="4758"/>
    </row>
    <row r="19" spans="1:13" ht="48.75" customHeight="1">
      <c r="A19" s="3128" t="s">
        <v>92</v>
      </c>
      <c r="B19" s="4759" t="s">
        <v>3317</v>
      </c>
      <c r="C19" s="4759"/>
      <c r="D19" s="4759"/>
      <c r="E19" s="4759"/>
      <c r="F19" s="4759"/>
      <c r="G19" s="4759"/>
      <c r="H19" s="4759"/>
      <c r="I19" s="4759"/>
      <c r="J19" s="4759"/>
      <c r="K19" s="4759"/>
      <c r="L19" s="4759"/>
      <c r="M19" s="4759"/>
    </row>
    <row r="20" spans="1:13" ht="50.25" customHeight="1">
      <c r="A20" s="3128" t="s">
        <v>489</v>
      </c>
      <c r="B20" s="4758" t="s">
        <v>3191</v>
      </c>
      <c r="C20" s="4758"/>
      <c r="D20" s="4758"/>
      <c r="E20" s="4758"/>
      <c r="F20" s="4758"/>
      <c r="G20" s="4758"/>
      <c r="H20" s="4758"/>
      <c r="I20" s="4758"/>
      <c r="J20" s="4758"/>
      <c r="K20" s="4758"/>
      <c r="L20" s="4758"/>
      <c r="M20" s="4758"/>
    </row>
    <row r="21" spans="1:13" ht="31.5" customHeight="1">
      <c r="A21" s="3128" t="s">
        <v>490</v>
      </c>
      <c r="B21" s="4758" t="s">
        <v>3208</v>
      </c>
      <c r="C21" s="4758"/>
      <c r="D21" s="4758"/>
      <c r="E21" s="4758"/>
      <c r="F21" s="4758"/>
      <c r="G21" s="4758"/>
      <c r="H21" s="4758"/>
      <c r="I21" s="4758"/>
      <c r="J21" s="4758"/>
      <c r="K21" s="4758"/>
      <c r="L21" s="4758"/>
      <c r="M21" s="4758"/>
    </row>
    <row r="22" spans="1:13" ht="1.5" customHeight="1">
      <c r="A22" s="4757"/>
      <c r="B22" s="4757"/>
      <c r="C22" s="4757"/>
      <c r="D22" s="4757"/>
      <c r="E22" s="4757"/>
      <c r="F22" s="4757"/>
      <c r="G22" s="4757"/>
      <c r="H22" s="4757"/>
      <c r="I22" s="4757"/>
      <c r="J22" s="4757"/>
      <c r="K22" s="4757"/>
      <c r="L22" s="4757"/>
      <c r="M22" s="4757"/>
    </row>
    <row r="23" spans="1:13" ht="3" customHeight="1">
      <c r="A23" s="4757"/>
      <c r="B23" s="4757"/>
      <c r="C23" s="4757"/>
      <c r="D23" s="4757"/>
      <c r="E23" s="4757"/>
      <c r="F23" s="4757"/>
      <c r="G23" s="4757"/>
      <c r="H23" s="4757"/>
      <c r="I23" s="4757"/>
      <c r="J23" s="4757"/>
      <c r="K23" s="4757"/>
      <c r="L23" s="4757"/>
      <c r="M23" s="4757"/>
    </row>
    <row r="24" spans="1:13" ht="13.5" customHeight="1">
      <c r="A24" s="4757" t="s">
        <v>1408</v>
      </c>
      <c r="B24" s="4757"/>
      <c r="C24" s="4757"/>
      <c r="D24" s="4757"/>
      <c r="E24" s="4757"/>
      <c r="F24" s="4757"/>
      <c r="G24" s="4757"/>
      <c r="H24" s="4757"/>
      <c r="I24" s="4757"/>
      <c r="J24" s="4757"/>
      <c r="K24" s="4757"/>
      <c r="L24" s="4757"/>
      <c r="M24" s="4757"/>
    </row>
    <row r="25" spans="1:13" ht="32.25" customHeight="1">
      <c r="A25" s="3128" t="s">
        <v>1409</v>
      </c>
      <c r="B25" s="4758" t="s">
        <v>3209</v>
      </c>
      <c r="C25" s="4758"/>
      <c r="D25" s="4758"/>
      <c r="E25" s="4758"/>
      <c r="F25" s="4758"/>
      <c r="G25" s="4758"/>
      <c r="H25" s="4758"/>
      <c r="I25" s="4758"/>
      <c r="J25" s="4758"/>
      <c r="K25" s="4758"/>
      <c r="L25" s="4758"/>
      <c r="M25" s="4758"/>
    </row>
    <row r="26" spans="1:13" ht="31.5" customHeight="1">
      <c r="A26" s="3128" t="s">
        <v>1409</v>
      </c>
      <c r="B26" s="4758" t="s">
        <v>3210</v>
      </c>
      <c r="C26" s="4758"/>
      <c r="D26" s="4758"/>
      <c r="E26" s="4758"/>
      <c r="F26" s="4758"/>
      <c r="G26" s="4758"/>
      <c r="H26" s="4758"/>
      <c r="I26" s="4758"/>
      <c r="J26" s="4758"/>
      <c r="K26" s="4758"/>
      <c r="L26" s="4758"/>
      <c r="M26" s="4758"/>
    </row>
    <row r="27" spans="1:13" ht="78.75" customHeight="1">
      <c r="A27" s="3128" t="s">
        <v>1409</v>
      </c>
      <c r="B27" s="4758" t="s">
        <v>2583</v>
      </c>
      <c r="C27" s="4758"/>
      <c r="D27" s="4758"/>
      <c r="E27" s="4758"/>
      <c r="F27" s="4758"/>
      <c r="G27" s="4758"/>
      <c r="H27" s="4758"/>
      <c r="I27" s="4758"/>
      <c r="J27" s="4758"/>
      <c r="K27" s="4758"/>
      <c r="L27" s="4758"/>
      <c r="M27" s="4758"/>
    </row>
    <row r="28" spans="1:13" ht="7.5" customHeight="1">
      <c r="A28" s="4757"/>
      <c r="B28" s="4757"/>
      <c r="C28" s="4757"/>
      <c r="D28" s="4757"/>
      <c r="E28" s="4757"/>
      <c r="F28" s="4757"/>
      <c r="G28" s="4757"/>
      <c r="H28" s="4757"/>
      <c r="I28" s="4757"/>
      <c r="J28" s="4757"/>
      <c r="K28" s="4757"/>
      <c r="L28" s="4757"/>
      <c r="M28" s="4757"/>
    </row>
    <row r="29" spans="1:13" ht="43.5" customHeight="1">
      <c r="A29" s="4758" t="s">
        <v>911</v>
      </c>
      <c r="B29" s="4758"/>
      <c r="C29" s="4758"/>
      <c r="D29" s="4758"/>
      <c r="E29" s="4758"/>
      <c r="F29" s="4758"/>
      <c r="G29" s="4758"/>
      <c r="H29" s="4758"/>
      <c r="I29" s="4758"/>
      <c r="J29" s="4758"/>
      <c r="K29" s="4758"/>
      <c r="L29" s="4758"/>
      <c r="M29" s="4758"/>
    </row>
    <row r="30" spans="1:13" ht="3" customHeight="1">
      <c r="A30" s="4757"/>
      <c r="B30" s="4757"/>
      <c r="C30" s="4757"/>
      <c r="D30" s="4757"/>
      <c r="E30" s="4757"/>
      <c r="F30" s="4757"/>
      <c r="G30" s="4757"/>
      <c r="H30" s="4757"/>
      <c r="I30" s="4757"/>
      <c r="J30" s="4757"/>
      <c r="K30" s="4757"/>
      <c r="L30" s="4757"/>
      <c r="M30" s="4757"/>
    </row>
    <row r="31" spans="1:13" ht="32.25" customHeight="1">
      <c r="A31" s="4758" t="s">
        <v>2584</v>
      </c>
      <c r="B31" s="4758"/>
      <c r="C31" s="4758"/>
      <c r="D31" s="4758"/>
      <c r="E31" s="4758"/>
      <c r="F31" s="4758"/>
      <c r="G31" s="4758"/>
      <c r="H31" s="4758"/>
      <c r="I31" s="4758"/>
      <c r="J31" s="4758"/>
      <c r="K31" s="4758"/>
      <c r="L31" s="4758"/>
      <c r="M31" s="4758"/>
    </row>
    <row r="32" spans="1:13" ht="4.5" customHeight="1">
      <c r="A32" s="4757"/>
      <c r="B32" s="4757"/>
      <c r="C32" s="4757"/>
      <c r="D32" s="4757"/>
      <c r="E32" s="4757"/>
      <c r="F32" s="4757"/>
      <c r="G32" s="4757"/>
      <c r="H32" s="4757"/>
      <c r="I32" s="4757"/>
      <c r="J32" s="4757"/>
      <c r="K32" s="4757"/>
      <c r="L32" s="4757"/>
      <c r="M32" s="4757"/>
    </row>
    <row r="33" spans="1:13" ht="16.5">
      <c r="A33" s="4757" t="s">
        <v>888</v>
      </c>
      <c r="B33" s="4757"/>
      <c r="C33" s="4757"/>
      <c r="D33" s="4757"/>
      <c r="E33" s="4757"/>
      <c r="F33" s="4757"/>
      <c r="G33" s="4757"/>
      <c r="H33" s="4757"/>
      <c r="I33" s="4757"/>
      <c r="J33" s="4757"/>
      <c r="K33" s="4757"/>
      <c r="L33" s="4757"/>
      <c r="M33" s="4757"/>
    </row>
    <row r="34" spans="1:13" ht="6" customHeight="1">
      <c r="A34" s="3129"/>
      <c r="B34" s="3129"/>
      <c r="C34" s="3129"/>
      <c r="D34" s="3129"/>
      <c r="E34" s="3129"/>
      <c r="F34" s="3129"/>
      <c r="G34" s="3129"/>
      <c r="H34" s="3129"/>
      <c r="I34" s="3129"/>
      <c r="J34" s="3129"/>
      <c r="K34" s="3129"/>
      <c r="L34" s="3129"/>
      <c r="M34" s="3129"/>
    </row>
    <row r="35" spans="1:13" ht="16.5">
      <c r="A35" s="4753" t="s">
        <v>6870</v>
      </c>
      <c r="B35" s="4753"/>
      <c r="C35" s="4753"/>
      <c r="D35" s="4753"/>
      <c r="E35" s="4753"/>
      <c r="F35" s="4753"/>
      <c r="G35" s="3130"/>
      <c r="H35" s="4753" t="s">
        <v>6855</v>
      </c>
      <c r="I35" s="4753"/>
      <c r="J35" s="4753"/>
      <c r="K35" s="4753"/>
      <c r="L35" s="4753"/>
      <c r="M35" s="4753"/>
    </row>
    <row r="36" spans="1:13" ht="12" customHeight="1">
      <c r="A36" s="4755" t="s">
        <v>889</v>
      </c>
      <c r="B36" s="4755"/>
      <c r="C36" s="4755"/>
      <c r="D36" s="4755"/>
      <c r="E36" s="4755"/>
      <c r="F36" s="4755"/>
      <c r="G36" s="3130"/>
      <c r="H36" s="4755" t="s">
        <v>1890</v>
      </c>
      <c r="I36" s="4755"/>
      <c r="J36" s="4755"/>
      <c r="K36" s="4755"/>
      <c r="L36" s="4755"/>
      <c r="M36" s="4755"/>
    </row>
    <row r="37" spans="1:13" ht="6" customHeight="1">
      <c r="A37" s="3130"/>
      <c r="B37" s="3130"/>
      <c r="C37" s="3130"/>
      <c r="D37" s="3130"/>
      <c r="E37" s="3130"/>
      <c r="F37" s="3130"/>
      <c r="G37" s="3130"/>
      <c r="H37" s="3130"/>
      <c r="I37" s="3130"/>
      <c r="J37" s="3130"/>
      <c r="K37" s="3130"/>
      <c r="L37" s="3130"/>
      <c r="M37" s="3130"/>
    </row>
    <row r="38" spans="1:13" ht="16.5">
      <c r="A38" s="4753"/>
      <c r="B38" s="4753"/>
      <c r="C38" s="4753"/>
      <c r="D38" s="4753"/>
      <c r="E38" s="4753"/>
      <c r="F38" s="4753"/>
      <c r="G38" s="3130"/>
      <c r="H38" s="4754">
        <v>44327</v>
      </c>
      <c r="I38" s="4754"/>
      <c r="J38" s="4754"/>
      <c r="K38" s="4754"/>
      <c r="L38" s="4754"/>
      <c r="M38" s="4754"/>
    </row>
    <row r="39" spans="1:13" ht="12" customHeight="1">
      <c r="A39" s="4755" t="s">
        <v>890</v>
      </c>
      <c r="B39" s="4755"/>
      <c r="C39" s="4755"/>
      <c r="D39" s="4755"/>
      <c r="E39" s="4755"/>
      <c r="F39" s="4755"/>
      <c r="G39" s="3130"/>
      <c r="H39" s="4755" t="s">
        <v>891</v>
      </c>
      <c r="I39" s="4755"/>
      <c r="J39" s="4755"/>
      <c r="K39" s="4755"/>
      <c r="L39" s="4755"/>
      <c r="M39" s="4755"/>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56" t="s">
        <v>892</v>
      </c>
      <c r="I41" s="4756"/>
      <c r="J41" s="4756"/>
      <c r="K41" s="4756"/>
      <c r="L41" s="4756"/>
      <c r="M41" s="4756"/>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AiguZW1Zt42h3sb6UJIlcip1ZVdLlBSgHHmKv7b0CZ4o2UOe2yP3ueKSSyqyeESo4n/oBC3ip2XFFSvWB4m46Q==" saltValue="wrWWSB8mYDPvj3VFYJZ/0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2" t="s">
        <v>691</v>
      </c>
      <c r="B2" s="4793"/>
      <c r="C2" s="4793"/>
      <c r="D2" s="4793"/>
      <c r="E2" s="4793"/>
      <c r="F2" s="4793"/>
      <c r="G2" s="4793"/>
      <c r="H2" s="4793"/>
      <c r="I2" s="4793"/>
      <c r="J2" s="4793"/>
      <c r="K2" s="4793"/>
      <c r="L2" s="4793"/>
      <c r="M2" s="4793"/>
      <c r="N2" s="4793"/>
      <c r="O2" s="4793"/>
      <c r="P2" s="4793"/>
      <c r="Q2" s="4793"/>
      <c r="R2" s="4794"/>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6395</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3262</v>
      </c>
      <c r="K12" s="277"/>
      <c r="M12" s="277"/>
      <c r="N12" s="277"/>
      <c r="O12" s="168"/>
      <c r="Q12" s="4788">
        <v>0.1</v>
      </c>
      <c r="R12" s="4789"/>
      <c r="S12" s="287"/>
      <c r="T12" s="166"/>
      <c r="U12" s="166"/>
      <c r="V12" s="863"/>
      <c r="W12" s="863"/>
      <c r="X12" s="863"/>
      <c r="AA12" s="481"/>
      <c r="AB12" s="481"/>
    </row>
    <row r="13" spans="1:28" s="267" customFormat="1" ht="12.75" customHeight="1">
      <c r="A13" s="168"/>
      <c r="B13" s="168"/>
      <c r="C13" s="168"/>
      <c r="F13" s="1368" t="s">
        <v>2561</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5" t="s">
        <v>3119</v>
      </c>
      <c r="G20" s="4796"/>
      <c r="H20" s="4796"/>
      <c r="I20" s="4796"/>
      <c r="J20" s="4797"/>
      <c r="K20" s="277"/>
      <c r="L20" s="516" t="s">
        <v>3262</v>
      </c>
      <c r="M20" s="277"/>
      <c r="N20" s="4795" t="s">
        <v>3119</v>
      </c>
      <c r="O20" s="4796"/>
      <c r="P20" s="4796"/>
      <c r="Q20" s="4796"/>
      <c r="R20" s="4797"/>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4">
        <v>1000</v>
      </c>
      <c r="R82" s="4775"/>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4">
        <v>500</v>
      </c>
      <c r="R83" s="4775"/>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4">
        <v>1500</v>
      </c>
      <c r="R84" s="4775"/>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4">
        <v>1500</v>
      </c>
      <c r="R85" s="4775"/>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4">
        <v>1500</v>
      </c>
      <c r="R86" s="4775"/>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4">
        <v>1500</v>
      </c>
      <c r="R87" s="4775"/>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4">
        <v>6500</v>
      </c>
      <c r="R88" s="4775"/>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4">
        <v>5500</v>
      </c>
      <c r="R89" s="4775"/>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4">
        <v>5500</v>
      </c>
      <c r="R90" s="4775"/>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4">
        <v>500</v>
      </c>
      <c r="R91" s="4775"/>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4">
        <v>1500</v>
      </c>
      <c r="R92" s="4775"/>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1">
        <v>0.08</v>
      </c>
      <c r="R93" s="4791"/>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791">
        <v>0.08</v>
      </c>
      <c r="R94" s="4791"/>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4"/>
      <c r="R95" s="4775"/>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4">
        <v>1500</v>
      </c>
      <c r="R96" s="4775"/>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4">
        <v>800</v>
      </c>
      <c r="R97" s="4775"/>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4">
        <v>1000</v>
      </c>
      <c r="R98" s="4775"/>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4" t="s">
        <v>2972</v>
      </c>
      <c r="R99" s="4775"/>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4">
        <v>1500</v>
      </c>
      <c r="R100" s="4775"/>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0">
        <v>750</v>
      </c>
      <c r="R101" s="4781"/>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4">
        <v>3000</v>
      </c>
      <c r="R102" s="4775"/>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4">
        <v>75</v>
      </c>
      <c r="R103" s="4775"/>
      <c r="S103" s="279"/>
      <c r="T103" s="279"/>
      <c r="U103" s="279"/>
      <c r="AA103" s="481"/>
      <c r="AB103" s="481"/>
    </row>
    <row r="104" spans="1:28" customFormat="1" ht="11.25" customHeight="1">
      <c r="B104" s="168" t="s">
        <v>1776</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777">
        <v>25000</v>
      </c>
      <c r="R105" s="4777"/>
    </row>
    <row r="106" spans="1:28" customFormat="1" ht="11.25" customHeight="1">
      <c r="B106" s="27"/>
      <c r="C106" s="27"/>
      <c r="F106" s="157"/>
      <c r="G106" s="27"/>
      <c r="H106" s="1381"/>
      <c r="I106" s="27"/>
      <c r="J106" s="1387">
        <v>51</v>
      </c>
      <c r="K106" s="1389">
        <v>70</v>
      </c>
      <c r="Q106" s="4776">
        <v>20000</v>
      </c>
      <c r="R106" s="4776"/>
    </row>
    <row r="107" spans="1:28" customFormat="1" ht="11.25" customHeight="1">
      <c r="B107" s="27"/>
      <c r="C107" s="27"/>
      <c r="F107" s="157"/>
      <c r="G107" s="27"/>
      <c r="H107" s="1590"/>
      <c r="I107" s="197"/>
      <c r="J107" s="1591">
        <v>71</v>
      </c>
      <c r="K107" s="1592"/>
      <c r="L107" s="1593"/>
      <c r="M107" s="1593"/>
      <c r="N107" s="1593"/>
      <c r="O107" s="1593"/>
      <c r="P107" s="1594"/>
      <c r="Q107" s="4778">
        <v>15000</v>
      </c>
      <c r="R107" s="4778"/>
    </row>
    <row r="108" spans="1:28" customFormat="1" ht="11.25" customHeight="1">
      <c r="B108" s="27"/>
      <c r="C108" s="27"/>
      <c r="F108" s="27"/>
      <c r="G108" s="27"/>
      <c r="H108" s="1595">
        <v>0.04</v>
      </c>
      <c r="I108" s="1596"/>
      <c r="J108" s="1597">
        <v>1</v>
      </c>
      <c r="K108" s="1597">
        <v>100</v>
      </c>
      <c r="L108" s="1598"/>
      <c r="M108" s="1598"/>
      <c r="N108" s="1598"/>
      <c r="O108" s="1598"/>
      <c r="P108" s="1599"/>
      <c r="Q108" s="4777">
        <v>20500</v>
      </c>
      <c r="R108" s="4777"/>
    </row>
    <row r="109" spans="1:28" customFormat="1" ht="11.25" customHeight="1">
      <c r="B109" s="27"/>
      <c r="C109" s="27"/>
      <c r="F109" s="27"/>
      <c r="G109" s="27"/>
      <c r="H109" s="1382"/>
      <c r="I109" s="27"/>
      <c r="J109" s="1387">
        <v>101</v>
      </c>
      <c r="K109" s="1389">
        <v>130</v>
      </c>
      <c r="Q109" s="4776">
        <v>18500</v>
      </c>
      <c r="R109" s="4776"/>
    </row>
    <row r="110" spans="1:28" customFormat="1" ht="11.25" customHeight="1">
      <c r="B110" s="27"/>
      <c r="C110" s="27"/>
      <c r="F110" s="27"/>
      <c r="G110" s="27"/>
      <c r="H110" s="1382"/>
      <c r="I110" s="27"/>
      <c r="J110" s="1387">
        <v>131</v>
      </c>
      <c r="K110" s="1388"/>
      <c r="Q110" s="4778">
        <v>14000</v>
      </c>
      <c r="R110" s="4778"/>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779">
        <v>2000000</v>
      </c>
      <c r="R112" s="4779"/>
    </row>
    <row r="113" spans="1:28" customFormat="1" ht="11.25" customHeight="1">
      <c r="B113" s="27"/>
      <c r="C113" s="27"/>
      <c r="F113" s="27"/>
      <c r="G113" s="27"/>
      <c r="H113" s="1384">
        <v>0.04</v>
      </c>
      <c r="I113" s="1376"/>
      <c r="J113" s="27"/>
      <c r="Q113" s="4779">
        <v>3500000</v>
      </c>
      <c r="R113" s="4779"/>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6">
        <v>3500000</v>
      </c>
      <c r="R115" s="4787"/>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84">
        <v>0.15</v>
      </c>
      <c r="R116" s="4785"/>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4">
        <v>0.15</v>
      </c>
      <c r="R117" s="4785"/>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4">
        <v>0.15</v>
      </c>
      <c r="R118" s="4785"/>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4">
        <v>0.15</v>
      </c>
      <c r="R119" s="4785"/>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4">
        <v>0.15</v>
      </c>
      <c r="R120" s="4785"/>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84">
        <v>0.15</v>
      </c>
      <c r="R121" s="4785"/>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84" t="s">
        <v>2268</v>
      </c>
      <c r="R122" s="4785"/>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4">
        <v>3000</v>
      </c>
      <c r="R128" s="4775"/>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3">
        <v>0.02</v>
      </c>
      <c r="R136" s="4763"/>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4">
        <v>7.0000000000000007E-2</v>
      </c>
      <c r="R137" s="4764"/>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4">
        <v>7.0000000000000007E-2</v>
      </c>
      <c r="R138" s="4764"/>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4">
        <v>0.03</v>
      </c>
      <c r="R139" s="4764"/>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4">
        <v>0.03</v>
      </c>
      <c r="R140" s="4764"/>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5">
        <v>0</v>
      </c>
      <c r="R141" s="4765"/>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3">
        <v>0.1</v>
      </c>
      <c r="R143" s="4763"/>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2">
        <v>1000000</v>
      </c>
      <c r="R144" s="4762"/>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3448</v>
      </c>
      <c r="K145" s="168"/>
      <c r="L145" s="168"/>
      <c r="M145" s="168"/>
      <c r="N145" s="168"/>
      <c r="O145" s="168"/>
      <c r="P145" s="166"/>
      <c r="Q145" s="4762">
        <v>1000000</v>
      </c>
      <c r="R145" s="4762"/>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2">
        <v>900000</v>
      </c>
      <c r="R146" s="4762"/>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62"/>
      <c r="R147" s="4762"/>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3">
        <v>4000000</v>
      </c>
      <c r="R148" s="4783"/>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66" t="s">
        <v>6321</v>
      </c>
      <c r="R150" s="4766"/>
    </row>
    <row r="151" spans="1:28" ht="11.25" customHeight="1">
      <c r="F151" s="168" t="s">
        <v>2479</v>
      </c>
      <c r="G151" s="168"/>
      <c r="H151" s="168" t="s">
        <v>6320</v>
      </c>
      <c r="I151" s="166"/>
      <c r="J151" s="4763">
        <v>0.35</v>
      </c>
      <c r="K151" s="4763"/>
      <c r="L151" s="168"/>
      <c r="M151" s="168"/>
      <c r="N151" s="168"/>
      <c r="O151" s="168"/>
      <c r="P151" s="166"/>
      <c r="Q151" s="4782">
        <v>900000</v>
      </c>
      <c r="R151" s="4782"/>
    </row>
    <row r="152" spans="1:28" ht="11.25" customHeight="1">
      <c r="A152" s="272"/>
      <c r="F152" s="168" t="s">
        <v>6319</v>
      </c>
      <c r="G152" s="168"/>
      <c r="H152" s="168" t="s">
        <v>6320</v>
      </c>
      <c r="I152" s="166"/>
      <c r="J152" s="4764">
        <v>0.35</v>
      </c>
      <c r="K152" s="4764"/>
      <c r="L152" s="168"/>
      <c r="M152" s="168"/>
      <c r="N152" s="168"/>
      <c r="O152" s="168"/>
      <c r="P152" s="166"/>
      <c r="Q152" s="4762">
        <v>1000000</v>
      </c>
      <c r="R152" s="4762"/>
    </row>
    <row r="153" spans="1:28" s="267" customFormat="1" ht="11.25" customHeight="1">
      <c r="A153" s="272"/>
      <c r="B153" s="168"/>
      <c r="C153" s="168"/>
      <c r="D153" s="166"/>
      <c r="E153" s="166"/>
      <c r="F153" s="168" t="s">
        <v>3141</v>
      </c>
      <c r="G153" s="168"/>
      <c r="H153" s="168" t="s">
        <v>6320</v>
      </c>
      <c r="I153" s="166"/>
      <c r="J153" s="4765">
        <v>0.3</v>
      </c>
      <c r="K153" s="4765"/>
      <c r="L153" s="168"/>
      <c r="M153" s="168"/>
      <c r="N153" s="168"/>
      <c r="O153" s="168"/>
      <c r="P153" s="166"/>
      <c r="Q153" s="4783">
        <v>1000000</v>
      </c>
      <c r="R153" s="4783"/>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3">
        <v>0.05</v>
      </c>
      <c r="R155" s="4763"/>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4">
        <v>0.4</v>
      </c>
      <c r="R156" s="4764"/>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5">
        <v>0.02</v>
      </c>
      <c r="R157" s="4765"/>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0" t="s">
        <v>3554</v>
      </c>
      <c r="E170" s="279"/>
      <c r="F170" s="279"/>
    </row>
    <row r="171" spans="2:37" ht="10.5" customHeight="1">
      <c r="C171" s="4790"/>
      <c r="E171" s="279"/>
      <c r="F171" s="279"/>
    </row>
    <row r="172" spans="2:37" ht="10.5" customHeight="1">
      <c r="C172" s="4790"/>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67">
        <v>2019</v>
      </c>
      <c r="D335" s="4768"/>
      <c r="E335" s="4768"/>
      <c r="F335" s="4768"/>
      <c r="G335" s="4767">
        <v>2020</v>
      </c>
      <c r="H335" s="4767"/>
      <c r="I335" s="4767"/>
      <c r="J335" s="4767"/>
      <c r="K335"/>
      <c r="L335" s="4769" t="s">
        <v>4264</v>
      </c>
      <c r="M335" s="4770"/>
      <c r="N335" s="4770"/>
      <c r="O335" s="4771"/>
      <c r="P335" s="504" t="s">
        <v>762</v>
      </c>
      <c r="Q335" s="287"/>
      <c r="R335" s="168"/>
      <c r="S335" s="380"/>
      <c r="T335" s="505" t="s">
        <v>659</v>
      </c>
      <c r="U335" s="505" t="s">
        <v>2082</v>
      </c>
      <c r="W335" s="418" t="s">
        <v>1395</v>
      </c>
      <c r="X335" s="418" t="s">
        <v>3138</v>
      </c>
      <c r="AA335" s="27"/>
      <c r="AB335" s="27"/>
      <c r="AC335" s="809"/>
      <c r="AD335" s="481"/>
    </row>
    <row r="336" spans="3:30" ht="10.5" customHeight="1">
      <c r="C336" s="4772" t="s">
        <v>4164</v>
      </c>
      <c r="D336" s="4773" t="s">
        <v>4165</v>
      </c>
      <c r="E336" s="4773" t="s">
        <v>4166</v>
      </c>
      <c r="F336" s="4773" t="s">
        <v>4167</v>
      </c>
      <c r="G336" s="4772" t="s">
        <v>4164</v>
      </c>
      <c r="H336" s="4773" t="s">
        <v>4165</v>
      </c>
      <c r="I336" s="4773" t="s">
        <v>4166</v>
      </c>
      <c r="J336" s="4773" t="s">
        <v>4167</v>
      </c>
      <c r="K336"/>
      <c r="L336" s="4772" t="s">
        <v>4164</v>
      </c>
      <c r="M336" s="4773" t="s">
        <v>4165</v>
      </c>
      <c r="N336" s="4773" t="s">
        <v>4166</v>
      </c>
      <c r="O336" s="4773" t="s">
        <v>4167</v>
      </c>
      <c r="P336" s="504" t="s">
        <v>2311</v>
      </c>
      <c r="Q336" s="287"/>
      <c r="R336" s="168"/>
      <c r="S336" s="380"/>
      <c r="T336" s="473" t="s">
        <v>147</v>
      </c>
      <c r="U336" s="473" t="s">
        <v>1788</v>
      </c>
      <c r="W336" s="418" t="s">
        <v>1518</v>
      </c>
      <c r="X336" s="418" t="s">
        <v>3138</v>
      </c>
      <c r="AA336" s="27"/>
      <c r="AB336" s="27"/>
      <c r="AC336" s="810"/>
      <c r="AD336" s="481"/>
    </row>
    <row r="337" spans="3:30" ht="10.5" customHeight="1">
      <c r="C337" s="4772"/>
      <c r="D337" s="4773"/>
      <c r="E337" s="4773"/>
      <c r="F337" s="4773"/>
      <c r="G337" s="4772"/>
      <c r="H337" s="4773"/>
      <c r="I337" s="4773"/>
      <c r="J337" s="4773"/>
      <c r="K337"/>
      <c r="L337" s="4772"/>
      <c r="M337" s="4773"/>
      <c r="N337" s="4773"/>
      <c r="O337" s="4773"/>
      <c r="P337" s="504" t="s">
        <v>2312</v>
      </c>
      <c r="Q337" s="287"/>
      <c r="R337" s="168"/>
      <c r="S337" s="380"/>
      <c r="T337" s="473" t="s">
        <v>188</v>
      </c>
      <c r="U337" s="473" t="s">
        <v>598</v>
      </c>
      <c r="W337" s="418" t="s">
        <v>2026</v>
      </c>
      <c r="X337" s="418" t="s">
        <v>3138</v>
      </c>
      <c r="AA337" s="27"/>
      <c r="AB337" s="27"/>
      <c r="AC337" s="809"/>
      <c r="AD337" s="481"/>
    </row>
    <row r="338" spans="3:30" ht="10.5" customHeight="1">
      <c r="C338" s="4772"/>
      <c r="D338" s="4773"/>
      <c r="E338" s="4773"/>
      <c r="F338" s="4773"/>
      <c r="G338" s="4772"/>
      <c r="H338" s="4773"/>
      <c r="I338" s="4773"/>
      <c r="J338" s="4773"/>
      <c r="K338"/>
      <c r="L338" s="4772"/>
      <c r="M338" s="4773"/>
      <c r="N338" s="4773"/>
      <c r="O338" s="4773"/>
      <c r="P338" s="504" t="s">
        <v>2314</v>
      </c>
      <c r="Q338" s="287"/>
      <c r="R338" s="168"/>
      <c r="S338" s="380"/>
      <c r="T338" s="473" t="s">
        <v>2449</v>
      </c>
      <c r="U338" s="473" t="s">
        <v>1919</v>
      </c>
      <c r="W338" s="418" t="s">
        <v>2028</v>
      </c>
      <c r="X338" s="418" t="s">
        <v>3138</v>
      </c>
      <c r="AA338" s="27"/>
      <c r="AB338" s="27"/>
      <c r="AC338" s="809"/>
      <c r="AD338" s="481"/>
    </row>
    <row r="339" spans="3:30" ht="10.5" customHeight="1">
      <c r="C339" s="4772"/>
      <c r="D339" s="4773"/>
      <c r="E339" s="4773"/>
      <c r="F339" s="4773"/>
      <c r="G339" s="4772"/>
      <c r="H339" s="4773"/>
      <c r="I339" s="4773"/>
      <c r="J339" s="4773"/>
      <c r="K339"/>
      <c r="L339" s="4772"/>
      <c r="M339" s="4773"/>
      <c r="N339" s="4773"/>
      <c r="O339" s="4773"/>
      <c r="P339" s="504" t="s">
        <v>2316</v>
      </c>
      <c r="Q339" s="287"/>
      <c r="R339" s="168"/>
      <c r="S339" s="380"/>
      <c r="T339" s="473" t="s">
        <v>759</v>
      </c>
      <c r="U339" s="473" t="s">
        <v>99</v>
      </c>
      <c r="W339" s="418" t="s">
        <v>1386</v>
      </c>
      <c r="X339" s="418" t="s">
        <v>3138</v>
      </c>
      <c r="AA339" s="27"/>
      <c r="AB339" s="27"/>
      <c r="AC339" s="809"/>
      <c r="AD339" s="481"/>
    </row>
    <row r="340" spans="3:30" ht="10.5" customHeight="1">
      <c r="C340" s="4772"/>
      <c r="D340" s="4773"/>
      <c r="E340" s="4773"/>
      <c r="F340" s="4773"/>
      <c r="G340" s="4772"/>
      <c r="H340" s="4773"/>
      <c r="I340" s="4773"/>
      <c r="J340" s="4773"/>
      <c r="K340"/>
      <c r="L340" s="4772"/>
      <c r="M340" s="4773"/>
      <c r="N340" s="4773"/>
      <c r="O340" s="4773"/>
      <c r="P340" s="504" t="s">
        <v>2317</v>
      </c>
      <c r="Q340" s="287"/>
      <c r="R340" s="168"/>
      <c r="S340" s="380"/>
      <c r="T340" s="473" t="s">
        <v>761</v>
      </c>
      <c r="U340" s="473" t="s">
        <v>115</v>
      </c>
      <c r="W340" s="418" t="s">
        <v>1492</v>
      </c>
      <c r="X340" s="418" t="s">
        <v>3138</v>
      </c>
      <c r="AA340" s="27"/>
      <c r="AB340" s="27"/>
      <c r="AC340" s="809"/>
      <c r="AD340" s="481"/>
    </row>
    <row r="341" spans="3:30" ht="10.5" customHeight="1">
      <c r="C341" s="4772"/>
      <c r="D341" s="4773"/>
      <c r="E341" s="4773"/>
      <c r="F341" s="4773"/>
      <c r="G341" s="4772"/>
      <c r="H341" s="4773"/>
      <c r="I341" s="4773"/>
      <c r="J341" s="4773"/>
      <c r="K341"/>
      <c r="L341" s="4772"/>
      <c r="M341" s="4773"/>
      <c r="N341" s="4773"/>
      <c r="O341" s="4773"/>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6301</v>
      </c>
      <c r="U372" s="505" t="s">
        <v>2371</v>
      </c>
      <c r="W372" s="418" t="s">
        <v>1816</v>
      </c>
      <c r="X372" s="418" t="s">
        <v>3138</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Q4mpHuACwYpd20iUWR92XUR2RmnqpV6fyeCqqO8Wuqj9MKSXBkqU5E84U/jAcUzVmYu2Aq7upDTiQFbLVQknqA==" saltValue="kYXO79GzS21NJKY3LvcBR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4"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4"/>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53" t="str">
        <f>CONCATENATE("PART TWO - DEVELOPMENT TEAM INFORMATION","  -  ",'Part I-Project Information'!$O$7," ",'Part I-Project Information'!$F$35,", ",'Part I-Project Information'!F39,", ",'Part I-Project Information'!J40," County")</f>
        <v>PART TWO - DEVELOPMENT TEAM INFORMATION  -  2021-041 Hunters Haven, Flemington, Liberty County</v>
      </c>
      <c r="B2" s="3454"/>
      <c r="C2" s="3454"/>
      <c r="D2" s="3454"/>
      <c r="E2" s="3454"/>
      <c r="F2" s="3454"/>
      <c r="G2" s="3454"/>
      <c r="H2" s="3454"/>
      <c r="I2" s="3454"/>
      <c r="J2" s="3454"/>
      <c r="K2" s="3454"/>
      <c r="L2" s="3454"/>
      <c r="M2" s="3454"/>
      <c r="N2" s="3454"/>
      <c r="O2" s="3454"/>
      <c r="P2" s="3454"/>
      <c r="Q2" s="3454"/>
      <c r="R2" s="3454"/>
      <c r="S2" s="3455"/>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56" t="str">
        <f>'Part I-Project Information'!$B$7</f>
        <v>2021 Core Application</v>
      </c>
      <c r="P4" s="3457"/>
      <c r="Q4" s="3457"/>
      <c r="R4" s="3457"/>
      <c r="S4" s="3458"/>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79" t="s">
        <v>6859</v>
      </c>
      <c r="I6" s="3382"/>
      <c r="J6" s="3382"/>
      <c r="K6" s="3382"/>
      <c r="L6" s="3382"/>
      <c r="M6" s="3382"/>
      <c r="N6" s="3383"/>
      <c r="O6" s="2620" t="s">
        <v>1899</v>
      </c>
      <c r="P6" s="2620"/>
      <c r="Q6" s="3379" t="s">
        <v>6854</v>
      </c>
      <c r="R6" s="3382"/>
      <c r="S6" s="3383"/>
      <c r="Y6" s="922"/>
      <c r="Z6" s="1773">
        <v>6</v>
      </c>
      <c r="AA6" s="2629"/>
    </row>
    <row r="7" spans="1:27" s="289" customFormat="1" ht="11.25" customHeight="1">
      <c r="D7" s="326"/>
      <c r="E7" s="2621" t="s">
        <v>982</v>
      </c>
      <c r="F7" s="301"/>
      <c r="H7" s="3289" t="s">
        <v>6856</v>
      </c>
      <c r="I7" s="3447"/>
      <c r="J7" s="3447"/>
      <c r="K7" s="3448"/>
      <c r="L7" s="3447"/>
      <c r="M7" s="3447"/>
      <c r="N7" s="3449"/>
      <c r="O7" s="2620" t="s">
        <v>1668</v>
      </c>
      <c r="Q7" s="3154" t="s">
        <v>6855</v>
      </c>
      <c r="R7" s="3268"/>
      <c r="S7" s="3269"/>
      <c r="V7" s="922"/>
      <c r="W7" s="922"/>
      <c r="X7" s="922"/>
      <c r="Y7" s="922"/>
      <c r="Z7" s="1773">
        <v>7</v>
      </c>
      <c r="AA7" s="2629"/>
    </row>
    <row r="8" spans="1:27" s="289" customFormat="1" ht="11.25" customHeight="1">
      <c r="D8" s="326"/>
      <c r="E8" s="2621" t="s">
        <v>588</v>
      </c>
      <c r="H8" s="3289" t="s">
        <v>361</v>
      </c>
      <c r="I8" s="3448"/>
      <c r="J8" s="3282"/>
      <c r="K8" s="2753" t="s">
        <v>732</v>
      </c>
      <c r="L8" s="3188"/>
      <c r="M8" s="3447"/>
      <c r="N8" s="3449"/>
      <c r="O8" s="2620" t="s">
        <v>1644</v>
      </c>
      <c r="Q8" s="3140">
        <v>6785928103</v>
      </c>
      <c r="R8" s="3141"/>
      <c r="S8" s="3142"/>
      <c r="Z8" s="1773">
        <v>8</v>
      </c>
    </row>
    <row r="9" spans="1:27" s="289" customFormat="1" ht="11.25" customHeight="1">
      <c r="D9" s="326"/>
      <c r="E9" s="2621" t="s">
        <v>1717</v>
      </c>
      <c r="H9" s="2695" t="s">
        <v>815</v>
      </c>
      <c r="I9" s="916" t="s">
        <v>2128</v>
      </c>
      <c r="J9" s="3459">
        <v>300675433</v>
      </c>
      <c r="K9" s="3460"/>
      <c r="L9" s="289" t="s">
        <v>3322</v>
      </c>
      <c r="M9" s="3461" t="s">
        <v>6878</v>
      </c>
      <c r="N9" s="3462"/>
      <c r="O9" s="2620" t="s">
        <v>1889</v>
      </c>
      <c r="Q9" s="3140">
        <v>6785928103</v>
      </c>
      <c r="R9" s="3141"/>
      <c r="S9" s="3142"/>
      <c r="Z9" s="1773">
        <v>9</v>
      </c>
    </row>
    <row r="10" spans="1:27" s="289" customFormat="1" ht="11.25" customHeight="1">
      <c r="D10" s="326"/>
      <c r="E10" s="2621" t="s">
        <v>3614</v>
      </c>
      <c r="H10" s="3445">
        <v>7707434124</v>
      </c>
      <c r="I10" s="3446"/>
      <c r="J10" s="2754">
        <v>2</v>
      </c>
      <c r="K10" s="2630" t="s">
        <v>1894</v>
      </c>
      <c r="L10" s="3280" t="s">
        <v>6857</v>
      </c>
      <c r="M10" s="3152"/>
      <c r="N10" s="3152"/>
      <c r="O10" s="3342"/>
      <c r="P10" s="3342"/>
      <c r="Q10" s="3152"/>
      <c r="R10" s="3152"/>
      <c r="S10" s="3153"/>
      <c r="Z10" s="1773">
        <v>10</v>
      </c>
    </row>
    <row r="11" spans="1:27" s="289" customFormat="1" ht="11.25" customHeight="1">
      <c r="D11" s="326"/>
      <c r="E11" s="1053" t="s">
        <v>3613</v>
      </c>
      <c r="H11" s="322"/>
      <c r="K11" s="265"/>
      <c r="N11" s="356" t="s">
        <v>3257</v>
      </c>
      <c r="Q11" s="2630"/>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5" t="s">
        <v>1236</v>
      </c>
      <c r="W13" s="2755"/>
      <c r="X13" s="2755"/>
      <c r="Y13" s="2755"/>
      <c r="Z13" s="1773">
        <v>13</v>
      </c>
    </row>
    <row r="14" spans="1:27" s="289" customFormat="1" ht="11.25" customHeight="1">
      <c r="C14" s="328" t="s">
        <v>1896</v>
      </c>
      <c r="D14" s="325" t="s">
        <v>1897</v>
      </c>
      <c r="H14" s="2629"/>
      <c r="I14" s="2629"/>
      <c r="J14" s="2629"/>
      <c r="N14" s="926"/>
      <c r="W14" s="2756"/>
      <c r="X14" s="2756"/>
      <c r="Y14" s="2756"/>
      <c r="Z14" s="1773">
        <v>14</v>
      </c>
    </row>
    <row r="15" spans="1:27" s="289" customFormat="1" ht="11.25" customHeight="1">
      <c r="D15" s="291" t="s">
        <v>2022</v>
      </c>
      <c r="E15" s="289" t="s">
        <v>1770</v>
      </c>
      <c r="H15" s="3379" t="s">
        <v>6982</v>
      </c>
      <c r="I15" s="3382"/>
      <c r="J15" s="3382"/>
      <c r="K15" s="3382"/>
      <c r="L15" s="3382"/>
      <c r="M15" s="3382"/>
      <c r="N15" s="3383"/>
      <c r="O15" s="2620" t="s">
        <v>1899</v>
      </c>
      <c r="P15" s="2620"/>
      <c r="Q15" s="3379" t="s">
        <v>6854</v>
      </c>
      <c r="R15" s="3382"/>
      <c r="S15" s="3383"/>
      <c r="Z15" s="1773">
        <v>15</v>
      </c>
    </row>
    <row r="16" spans="1:27" s="289" customFormat="1" ht="11.25" customHeight="1">
      <c r="D16" s="326"/>
      <c r="E16" s="2621" t="s">
        <v>982</v>
      </c>
      <c r="F16" s="301"/>
      <c r="H16" s="3289" t="s">
        <v>6856</v>
      </c>
      <c r="I16" s="3447"/>
      <c r="J16" s="3447"/>
      <c r="K16" s="3448"/>
      <c r="L16" s="3447"/>
      <c r="M16" s="3447"/>
      <c r="N16" s="3449"/>
      <c r="O16" s="2620" t="s">
        <v>1668</v>
      </c>
      <c r="Q16" s="3154" t="s">
        <v>6855</v>
      </c>
      <c r="R16" s="3268"/>
      <c r="S16" s="3269"/>
      <c r="Z16" s="1773">
        <v>16</v>
      </c>
    </row>
    <row r="17" spans="4:26" s="289" customFormat="1" ht="11.25" customHeight="1">
      <c r="D17" s="326"/>
      <c r="E17" s="2621" t="s">
        <v>588</v>
      </c>
      <c r="H17" s="3289" t="s">
        <v>361</v>
      </c>
      <c r="I17" s="3448"/>
      <c r="J17" s="3282"/>
      <c r="K17" s="2624" t="s">
        <v>2553</v>
      </c>
      <c r="L17" s="3289" t="s">
        <v>2933</v>
      </c>
      <c r="M17" s="3447"/>
      <c r="N17" s="3282"/>
      <c r="O17" s="2620" t="s">
        <v>1644</v>
      </c>
      <c r="Q17" s="3140">
        <v>6785928103</v>
      </c>
      <c r="R17" s="3141"/>
      <c r="S17" s="3142"/>
      <c r="Z17" s="1773">
        <v>17</v>
      </c>
    </row>
    <row r="18" spans="4:26" s="289" customFormat="1" ht="11.25" customHeight="1">
      <c r="D18" s="291"/>
      <c r="E18" s="2621" t="s">
        <v>1717</v>
      </c>
      <c r="H18" s="2695" t="s">
        <v>815</v>
      </c>
      <c r="K18" s="916" t="s">
        <v>2128</v>
      </c>
      <c r="L18" s="3322">
        <v>300675433</v>
      </c>
      <c r="M18" s="3450"/>
      <c r="O18" s="2620" t="s">
        <v>1889</v>
      </c>
      <c r="Q18" s="3140">
        <v>6785928103</v>
      </c>
      <c r="R18" s="3141"/>
      <c r="S18" s="3142"/>
      <c r="Z18" s="1773">
        <v>18</v>
      </c>
    </row>
    <row r="19" spans="4:26" s="289" customFormat="1" ht="11.25" customHeight="1">
      <c r="D19" s="326"/>
      <c r="E19" s="2621" t="s">
        <v>3614</v>
      </c>
      <c r="H19" s="3445">
        <v>7707434124</v>
      </c>
      <c r="I19" s="3451"/>
      <c r="J19" s="2757">
        <v>2</v>
      </c>
      <c r="K19" s="2630" t="s">
        <v>1894</v>
      </c>
      <c r="L19" s="3280" t="s">
        <v>6857</v>
      </c>
      <c r="M19" s="3152"/>
      <c r="N19" s="3152"/>
      <c r="O19" s="3342"/>
      <c r="P19" s="3342"/>
      <c r="Q19" s="3152"/>
      <c r="R19" s="3152"/>
      <c r="S19" s="3153"/>
      <c r="Z19" s="1773">
        <v>19</v>
      </c>
    </row>
    <row r="20" spans="4:26" ht="4.3499999999999996" customHeight="1">
      <c r="D20" s="315"/>
      <c r="H20" s="2758"/>
      <c r="I20" s="2758"/>
      <c r="J20" s="2758"/>
      <c r="K20" s="2630"/>
      <c r="L20" s="2758"/>
      <c r="M20" s="2758"/>
      <c r="N20" s="2618"/>
      <c r="O20" s="2759"/>
      <c r="P20" s="2759"/>
      <c r="Q20" s="2630"/>
      <c r="R20" s="2759"/>
      <c r="S20" s="2759"/>
      <c r="Z20" s="1773">
        <v>20</v>
      </c>
    </row>
    <row r="21" spans="4:26" s="289" customFormat="1" ht="11.25" customHeight="1">
      <c r="D21" s="291" t="s">
        <v>2023</v>
      </c>
      <c r="E21" s="289" t="s">
        <v>1771</v>
      </c>
      <c r="F21" s="2629"/>
      <c r="H21" s="3379" t="s">
        <v>6879</v>
      </c>
      <c r="I21" s="3382"/>
      <c r="J21" s="3382"/>
      <c r="K21" s="3382"/>
      <c r="L21" s="3382"/>
      <c r="M21" s="3382"/>
      <c r="N21" s="3383"/>
      <c r="O21" s="2620" t="s">
        <v>1899</v>
      </c>
      <c r="P21" s="2620"/>
      <c r="Q21" s="3379" t="s">
        <v>6854</v>
      </c>
      <c r="R21" s="3382"/>
      <c r="S21" s="3383"/>
      <c r="Z21" s="1773">
        <v>21</v>
      </c>
    </row>
    <row r="22" spans="4:26" s="289" customFormat="1" ht="11.25" customHeight="1">
      <c r="D22" s="326"/>
      <c r="E22" s="2621" t="s">
        <v>982</v>
      </c>
      <c r="F22" s="301"/>
      <c r="H22" s="3289" t="s">
        <v>6856</v>
      </c>
      <c r="I22" s="3447"/>
      <c r="J22" s="3447"/>
      <c r="K22" s="3448"/>
      <c r="L22" s="3447"/>
      <c r="M22" s="3447"/>
      <c r="N22" s="3449"/>
      <c r="O22" s="2620" t="s">
        <v>1668</v>
      </c>
      <c r="Q22" s="3154" t="s">
        <v>6855</v>
      </c>
      <c r="R22" s="3268"/>
      <c r="S22" s="3269"/>
      <c r="Z22" s="1773">
        <v>22</v>
      </c>
    </row>
    <row r="23" spans="4:26" s="289" customFormat="1" ht="11.25" customHeight="1">
      <c r="D23" s="326"/>
      <c r="E23" s="2621" t="s">
        <v>588</v>
      </c>
      <c r="H23" s="3289" t="s">
        <v>361</v>
      </c>
      <c r="I23" s="3448"/>
      <c r="J23" s="3282"/>
      <c r="K23" s="2624" t="s">
        <v>2553</v>
      </c>
      <c r="L23" s="3289" t="s">
        <v>2933</v>
      </c>
      <c r="M23" s="3447"/>
      <c r="N23" s="3282"/>
      <c r="O23" s="2620" t="s">
        <v>1644</v>
      </c>
      <c r="Q23" s="3140">
        <v>6785928103</v>
      </c>
      <c r="R23" s="3141"/>
      <c r="S23" s="3142"/>
      <c r="Z23" s="1773">
        <v>23</v>
      </c>
    </row>
    <row r="24" spans="4:26" s="289" customFormat="1" ht="11.25" customHeight="1">
      <c r="E24" s="2621" t="s">
        <v>1717</v>
      </c>
      <c r="H24" s="2695" t="s">
        <v>815</v>
      </c>
      <c r="K24" s="916" t="s">
        <v>2128</v>
      </c>
      <c r="L24" s="3322">
        <v>300675433</v>
      </c>
      <c r="M24" s="3450"/>
      <c r="O24" s="2620" t="s">
        <v>1889</v>
      </c>
      <c r="Q24" s="3140">
        <v>6785928103</v>
      </c>
      <c r="R24" s="3141"/>
      <c r="S24" s="3142"/>
      <c r="Z24" s="1773">
        <v>24</v>
      </c>
    </row>
    <row r="25" spans="4:26" s="289" customFormat="1" ht="11.25" customHeight="1">
      <c r="D25" s="326"/>
      <c r="E25" s="2621" t="s">
        <v>3614</v>
      </c>
      <c r="H25" s="3445">
        <v>7707434124</v>
      </c>
      <c r="I25" s="3451"/>
      <c r="J25" s="2757">
        <v>2</v>
      </c>
      <c r="K25" s="2630" t="s">
        <v>1894</v>
      </c>
      <c r="L25" s="3280" t="s">
        <v>6857</v>
      </c>
      <c r="M25" s="3152"/>
      <c r="N25" s="3152"/>
      <c r="O25" s="3342"/>
      <c r="P25" s="3342"/>
      <c r="Q25" s="3152"/>
      <c r="R25" s="3152"/>
      <c r="S25" s="3153"/>
      <c r="Z25" s="1773">
        <v>25</v>
      </c>
    </row>
    <row r="26" spans="4:26" s="289" customFormat="1" ht="4.3499999999999996" customHeight="1">
      <c r="D26" s="326"/>
      <c r="E26" s="2629"/>
      <c r="F26" s="2629"/>
      <c r="G26" s="2620"/>
      <c r="H26" s="2758"/>
      <c r="I26" s="2758"/>
      <c r="J26" s="2758"/>
      <c r="K26" s="2630"/>
      <c r="L26" s="2758"/>
      <c r="M26" s="2758"/>
      <c r="N26" s="2618"/>
      <c r="O26" s="2759"/>
      <c r="P26" s="2759"/>
      <c r="Q26" s="2630"/>
      <c r="R26" s="2759"/>
      <c r="S26" s="2759"/>
      <c r="Z26" s="1773">
        <v>26</v>
      </c>
    </row>
    <row r="27" spans="4:26" s="289" customFormat="1" ht="11.25" customHeight="1">
      <c r="D27" s="291" t="s">
        <v>1655</v>
      </c>
      <c r="E27" s="289" t="s">
        <v>1771</v>
      </c>
      <c r="F27" s="2629"/>
      <c r="H27" s="3379" t="s">
        <v>6881</v>
      </c>
      <c r="I27" s="3382"/>
      <c r="J27" s="3382"/>
      <c r="K27" s="3382"/>
      <c r="L27" s="3382"/>
      <c r="M27" s="3382"/>
      <c r="N27" s="3383"/>
      <c r="O27" s="2620" t="s">
        <v>1899</v>
      </c>
      <c r="P27" s="2620"/>
      <c r="Q27" s="3379" t="s">
        <v>6883</v>
      </c>
      <c r="R27" s="3382"/>
      <c r="S27" s="3383"/>
      <c r="Z27" s="1773">
        <v>27</v>
      </c>
    </row>
    <row r="28" spans="4:26" s="289" customFormat="1" ht="11.25" customHeight="1">
      <c r="D28" s="326"/>
      <c r="E28" s="2621" t="s">
        <v>982</v>
      </c>
      <c r="F28" s="301"/>
      <c r="H28" s="3289" t="s">
        <v>6882</v>
      </c>
      <c r="I28" s="3447"/>
      <c r="J28" s="3447"/>
      <c r="K28" s="3448"/>
      <c r="L28" s="3447"/>
      <c r="M28" s="3447"/>
      <c r="N28" s="3449"/>
      <c r="O28" s="2620" t="s">
        <v>1668</v>
      </c>
      <c r="Q28" s="3154" t="s">
        <v>6855</v>
      </c>
      <c r="R28" s="3268"/>
      <c r="S28" s="3269"/>
      <c r="Z28" s="1773">
        <v>28</v>
      </c>
    </row>
    <row r="29" spans="4:26" s="289" customFormat="1" ht="11.25" customHeight="1">
      <c r="D29" s="326"/>
      <c r="E29" s="2621" t="s">
        <v>588</v>
      </c>
      <c r="H29" s="3289" t="s">
        <v>1395</v>
      </c>
      <c r="I29" s="3448"/>
      <c r="J29" s="3282"/>
      <c r="K29" s="2624" t="s">
        <v>2553</v>
      </c>
      <c r="L29" s="3289" t="s">
        <v>2933</v>
      </c>
      <c r="M29" s="3447"/>
      <c r="N29" s="3282"/>
      <c r="O29" s="2620" t="s">
        <v>1644</v>
      </c>
      <c r="Q29" s="3140">
        <v>7702834091</v>
      </c>
      <c r="R29" s="3141"/>
      <c r="S29" s="3142"/>
      <c r="Z29" s="1773">
        <v>29</v>
      </c>
    </row>
    <row r="30" spans="4:26" s="289" customFormat="1" ht="11.25" customHeight="1">
      <c r="E30" s="2621" t="s">
        <v>1717</v>
      </c>
      <c r="H30" s="2695" t="s">
        <v>815</v>
      </c>
      <c r="K30" s="916" t="s">
        <v>2128</v>
      </c>
      <c r="L30" s="3322">
        <v>302691693</v>
      </c>
      <c r="M30" s="3450"/>
      <c r="O30" s="2620" t="s">
        <v>1889</v>
      </c>
      <c r="Q30" s="3140">
        <v>7702834091</v>
      </c>
      <c r="R30" s="3141"/>
      <c r="S30" s="3142"/>
      <c r="Z30" s="1773">
        <v>30</v>
      </c>
    </row>
    <row r="31" spans="4:26" s="289" customFormat="1" ht="11.25" customHeight="1">
      <c r="D31" s="326"/>
      <c r="E31" s="2621" t="s">
        <v>3614</v>
      </c>
      <c r="H31" s="3445">
        <v>7702834091</v>
      </c>
      <c r="I31" s="3451"/>
      <c r="J31" s="2757"/>
      <c r="K31" s="2630" t="s">
        <v>1894</v>
      </c>
      <c r="L31" s="3151" t="s">
        <v>6884</v>
      </c>
      <c r="M31" s="3152"/>
      <c r="N31" s="3342"/>
      <c r="O31" s="3342"/>
      <c r="P31" s="3342"/>
      <c r="Q31" s="3152"/>
      <c r="R31" s="3152"/>
      <c r="S31" s="3153"/>
      <c r="Z31" s="1773">
        <v>31</v>
      </c>
    </row>
    <row r="32" spans="4:26" ht="4.3499999999999996" customHeight="1">
      <c r="Z32" s="1773">
        <v>32</v>
      </c>
    </row>
    <row r="33" spans="3:26" s="289" customFormat="1" ht="11.25" customHeight="1">
      <c r="C33" s="328" t="s">
        <v>1898</v>
      </c>
      <c r="D33" s="325" t="s">
        <v>1773</v>
      </c>
      <c r="H33" s="2629"/>
      <c r="I33" s="2629"/>
      <c r="J33" s="2629"/>
      <c r="K33" s="1053" t="s">
        <v>3613</v>
      </c>
      <c r="L33" s="2629"/>
      <c r="M33" s="2629"/>
      <c r="Z33" s="1773">
        <v>33</v>
      </c>
    </row>
    <row r="34" spans="3:26" s="289" customFormat="1" ht="11.25" customHeight="1">
      <c r="D34" s="291" t="s">
        <v>2022</v>
      </c>
      <c r="E34" s="289" t="s">
        <v>720</v>
      </c>
      <c r="H34" s="3379" t="s">
        <v>7019</v>
      </c>
      <c r="I34" s="3382"/>
      <c r="J34" s="3382"/>
      <c r="K34" s="3382"/>
      <c r="L34" s="3382"/>
      <c r="M34" s="3382"/>
      <c r="N34" s="3383"/>
      <c r="O34" s="2620" t="s">
        <v>1899</v>
      </c>
      <c r="P34" s="2620"/>
      <c r="Q34" s="3379" t="s">
        <v>6872</v>
      </c>
      <c r="R34" s="3382"/>
      <c r="S34" s="3383"/>
      <c r="Z34" s="1773">
        <v>34</v>
      </c>
    </row>
    <row r="35" spans="3:26" s="289" customFormat="1" ht="11.25" customHeight="1">
      <c r="D35" s="326"/>
      <c r="E35" s="2621" t="s">
        <v>982</v>
      </c>
      <c r="F35" s="301"/>
      <c r="H35" s="3289" t="s">
        <v>6994</v>
      </c>
      <c r="I35" s="3447"/>
      <c r="J35" s="3447"/>
      <c r="K35" s="3448"/>
      <c r="L35" s="3447"/>
      <c r="M35" s="3447"/>
      <c r="N35" s="3449"/>
      <c r="O35" s="2620" t="s">
        <v>1668</v>
      </c>
      <c r="Q35" s="3154" t="s">
        <v>6995</v>
      </c>
      <c r="R35" s="3268"/>
      <c r="S35" s="3269"/>
      <c r="Z35" s="1773">
        <v>35</v>
      </c>
    </row>
    <row r="36" spans="3:26" s="289" customFormat="1" ht="11.25" customHeight="1">
      <c r="D36" s="326"/>
      <c r="E36" s="2621" t="s">
        <v>588</v>
      </c>
      <c r="H36" s="3289" t="s">
        <v>1395</v>
      </c>
      <c r="I36" s="3448"/>
      <c r="J36" s="3282"/>
      <c r="K36" s="2624" t="s">
        <v>2553</v>
      </c>
      <c r="L36" s="3289" t="s">
        <v>6996</v>
      </c>
      <c r="M36" s="3447"/>
      <c r="N36" s="3282"/>
      <c r="O36" s="2620" t="s">
        <v>1644</v>
      </c>
      <c r="Q36" s="3140">
        <v>7702805165</v>
      </c>
      <c r="R36" s="3141"/>
      <c r="S36" s="3142"/>
      <c r="Z36" s="1773">
        <v>36</v>
      </c>
    </row>
    <row r="37" spans="3:26" s="289" customFormat="1" ht="11.25" customHeight="1">
      <c r="E37" s="2621" t="s">
        <v>1717</v>
      </c>
      <c r="H37" s="2695" t="s">
        <v>815</v>
      </c>
      <c r="K37" s="916" t="s">
        <v>2128</v>
      </c>
      <c r="L37" s="3322">
        <v>302691693</v>
      </c>
      <c r="M37" s="3450"/>
      <c r="O37" s="2620" t="s">
        <v>1889</v>
      </c>
      <c r="Q37" s="3140">
        <v>7702805165</v>
      </c>
      <c r="R37" s="3141"/>
      <c r="S37" s="3142"/>
      <c r="Z37" s="1773">
        <v>37</v>
      </c>
    </row>
    <row r="38" spans="3:26" s="289" customFormat="1" ht="11.25" customHeight="1">
      <c r="D38" s="326"/>
      <c r="E38" s="2621" t="s">
        <v>3614</v>
      </c>
      <c r="H38" s="3445">
        <v>7702805165</v>
      </c>
      <c r="I38" s="3451"/>
      <c r="J38" s="2757"/>
      <c r="K38" s="2630" t="s">
        <v>1894</v>
      </c>
      <c r="L38" s="3151" t="s">
        <v>6984</v>
      </c>
      <c r="M38" s="3152"/>
      <c r="N38" s="3342"/>
      <c r="O38" s="3342"/>
      <c r="P38" s="3342"/>
      <c r="Q38" s="3152"/>
      <c r="R38" s="3152"/>
      <c r="S38" s="3153"/>
      <c r="Z38" s="1773">
        <v>38</v>
      </c>
    </row>
    <row r="39" spans="3:26" ht="4.3499999999999996" customHeight="1">
      <c r="H39" s="2758"/>
      <c r="I39" s="2758"/>
      <c r="J39" s="2758"/>
      <c r="K39" s="2630"/>
      <c r="L39" s="2758"/>
      <c r="M39" s="2758"/>
      <c r="N39" s="2618"/>
      <c r="O39" s="2759"/>
      <c r="P39" s="2759"/>
      <c r="Q39" s="2630"/>
      <c r="R39" s="2759"/>
      <c r="S39" s="2759"/>
      <c r="Z39" s="1773">
        <v>39</v>
      </c>
    </row>
    <row r="40" spans="3:26" s="289" customFormat="1" ht="11.25" customHeight="1">
      <c r="D40" s="291" t="s">
        <v>2023</v>
      </c>
      <c r="E40" s="289" t="s">
        <v>721</v>
      </c>
      <c r="F40" s="291"/>
      <c r="H40" s="3379" t="s">
        <v>7019</v>
      </c>
      <c r="I40" s="3382"/>
      <c r="J40" s="3382"/>
      <c r="K40" s="3382"/>
      <c r="L40" s="3382"/>
      <c r="M40" s="3382"/>
      <c r="N40" s="3383"/>
      <c r="O40" s="2620" t="s">
        <v>1899</v>
      </c>
      <c r="P40" s="2620"/>
      <c r="Q40" s="3379" t="s">
        <v>6872</v>
      </c>
      <c r="R40" s="3382"/>
      <c r="S40" s="3383"/>
      <c r="Z40" s="1773">
        <v>40</v>
      </c>
    </row>
    <row r="41" spans="3:26" s="289" customFormat="1" ht="11.25" customHeight="1">
      <c r="D41" s="326"/>
      <c r="E41" s="2621" t="s">
        <v>982</v>
      </c>
      <c r="F41" s="301"/>
      <c r="H41" s="3289" t="s">
        <v>6994</v>
      </c>
      <c r="I41" s="3160"/>
      <c r="J41" s="3160"/>
      <c r="K41" s="3160"/>
      <c r="L41" s="3160"/>
      <c r="M41" s="3160"/>
      <c r="N41" s="3291"/>
      <c r="O41" s="2620" t="s">
        <v>1668</v>
      </c>
      <c r="Q41" s="3154" t="s">
        <v>6995</v>
      </c>
      <c r="R41" s="3268"/>
      <c r="S41" s="3269"/>
      <c r="Z41" s="1773">
        <v>41</v>
      </c>
    </row>
    <row r="42" spans="3:26" s="289" customFormat="1" ht="11.25" customHeight="1">
      <c r="D42" s="326"/>
      <c r="E42" s="2621" t="s">
        <v>588</v>
      </c>
      <c r="H42" s="3289" t="s">
        <v>1395</v>
      </c>
      <c r="I42" s="3160"/>
      <c r="J42" s="3291"/>
      <c r="K42" s="2624" t="s">
        <v>2553</v>
      </c>
      <c r="L42" s="3289" t="s">
        <v>6996</v>
      </c>
      <c r="M42" s="3160"/>
      <c r="N42" s="3291"/>
      <c r="O42" s="2620" t="s">
        <v>1644</v>
      </c>
      <c r="Q42" s="3140">
        <v>7702805165</v>
      </c>
      <c r="R42" s="3141"/>
      <c r="S42" s="3142"/>
      <c r="Z42" s="1773">
        <v>42</v>
      </c>
    </row>
    <row r="43" spans="3:26" s="289" customFormat="1" ht="11.25" customHeight="1">
      <c r="D43" s="291"/>
      <c r="E43" s="2621" t="s">
        <v>1717</v>
      </c>
      <c r="H43" s="2695" t="s">
        <v>815</v>
      </c>
      <c r="K43" s="916" t="s">
        <v>2128</v>
      </c>
      <c r="L43" s="3322">
        <v>302691693</v>
      </c>
      <c r="M43" s="3323"/>
      <c r="O43" s="2620" t="s">
        <v>1889</v>
      </c>
      <c r="Q43" s="3140">
        <v>7702805165</v>
      </c>
      <c r="R43" s="3141"/>
      <c r="S43" s="3142"/>
      <c r="Z43" s="1773">
        <v>43</v>
      </c>
    </row>
    <row r="44" spans="3:26" s="289" customFormat="1" ht="11.25" customHeight="1">
      <c r="D44" s="326"/>
      <c r="E44" s="2621" t="s">
        <v>3614</v>
      </c>
      <c r="H44" s="3445">
        <v>7702805165</v>
      </c>
      <c r="I44" s="3451"/>
      <c r="J44" s="2757"/>
      <c r="K44" s="2630" t="s">
        <v>1894</v>
      </c>
      <c r="L44" s="3151" t="s">
        <v>6984</v>
      </c>
      <c r="M44" s="3152"/>
      <c r="N44" s="3342"/>
      <c r="O44" s="3342"/>
      <c r="P44" s="3342"/>
      <c r="Q44" s="3152"/>
      <c r="R44" s="3152"/>
      <c r="S44" s="3153"/>
      <c r="Z44" s="1773">
        <v>44</v>
      </c>
    </row>
    <row r="45" spans="3:26" s="289" customFormat="1" ht="4.3499999999999996" customHeight="1">
      <c r="D45" s="326"/>
      <c r="E45" s="2621"/>
      <c r="F45" s="291"/>
      <c r="H45" s="2758"/>
      <c r="I45" s="2758"/>
      <c r="J45" s="2760"/>
      <c r="K45" s="2630"/>
      <c r="L45" s="322"/>
      <c r="M45" s="322"/>
      <c r="N45" s="2630"/>
      <c r="O45" s="322"/>
      <c r="P45" s="322"/>
      <c r="Q45" s="2630"/>
      <c r="R45" s="322"/>
      <c r="S45" s="322"/>
      <c r="Z45" s="1773">
        <v>45</v>
      </c>
    </row>
    <row r="46" spans="3:26" s="289" customFormat="1" ht="11.25" customHeight="1">
      <c r="C46" s="329" t="s">
        <v>2416</v>
      </c>
      <c r="D46" s="325" t="s">
        <v>621</v>
      </c>
      <c r="H46" s="2629"/>
      <c r="I46" s="2629"/>
      <c r="J46" s="2629"/>
      <c r="K46" s="1053" t="s">
        <v>3613</v>
      </c>
      <c r="L46" s="2629"/>
      <c r="M46" s="2629"/>
      <c r="Z46" s="1773">
        <v>46</v>
      </c>
    </row>
    <row r="47" spans="3:26" s="289" customFormat="1" ht="11.25" customHeight="1">
      <c r="E47" s="289" t="s">
        <v>87</v>
      </c>
      <c r="H47" s="3379"/>
      <c r="I47" s="3382"/>
      <c r="J47" s="3382"/>
      <c r="K47" s="3382"/>
      <c r="L47" s="3382"/>
      <c r="M47" s="3382"/>
      <c r="N47" s="3383"/>
      <c r="O47" s="2620" t="s">
        <v>1899</v>
      </c>
      <c r="P47" s="2620"/>
      <c r="Q47" s="3379"/>
      <c r="R47" s="3382"/>
      <c r="S47" s="3383"/>
      <c r="Z47" s="1773">
        <v>47</v>
      </c>
    </row>
    <row r="48" spans="3:26" s="289" customFormat="1" ht="11.25" customHeight="1">
      <c r="D48" s="326"/>
      <c r="E48" s="2621" t="s">
        <v>982</v>
      </c>
      <c r="F48" s="301"/>
      <c r="H48" s="3289"/>
      <c r="I48" s="3447"/>
      <c r="J48" s="3447"/>
      <c r="K48" s="3448"/>
      <c r="L48" s="3447"/>
      <c r="M48" s="3447"/>
      <c r="N48" s="3449"/>
      <c r="O48" s="2620" t="s">
        <v>1668</v>
      </c>
      <c r="Q48" s="3154"/>
      <c r="R48" s="3268"/>
      <c r="S48" s="3269"/>
      <c r="Z48" s="1773">
        <v>48</v>
      </c>
    </row>
    <row r="49" spans="1:26" s="289" customFormat="1" ht="11.25" customHeight="1">
      <c r="D49" s="326"/>
      <c r="E49" s="2621" t="s">
        <v>588</v>
      </c>
      <c r="H49" s="3289"/>
      <c r="I49" s="3448"/>
      <c r="J49" s="3282"/>
      <c r="K49" s="2624" t="s">
        <v>2553</v>
      </c>
      <c r="L49" s="3289"/>
      <c r="M49" s="3447"/>
      <c r="N49" s="3282"/>
      <c r="O49" s="2620" t="s">
        <v>1644</v>
      </c>
      <c r="Q49" s="3140"/>
      <c r="R49" s="3141"/>
      <c r="S49" s="3142"/>
      <c r="Z49" s="1773">
        <v>49</v>
      </c>
    </row>
    <row r="50" spans="1:26" s="289" customFormat="1" ht="11.25" customHeight="1">
      <c r="E50" s="2621" t="s">
        <v>1717</v>
      </c>
      <c r="H50" s="2695"/>
      <c r="K50" s="916" t="s">
        <v>2128</v>
      </c>
      <c r="L50" s="3322"/>
      <c r="M50" s="3450"/>
      <c r="O50" s="2620" t="s">
        <v>1889</v>
      </c>
      <c r="Q50" s="3140"/>
      <c r="R50" s="3141"/>
      <c r="S50" s="3142"/>
      <c r="Z50" s="1773">
        <v>50</v>
      </c>
    </row>
    <row r="51" spans="1:26" s="289" customFormat="1" ht="11.25" customHeight="1">
      <c r="D51" s="326"/>
      <c r="E51" s="2621" t="s">
        <v>3614</v>
      </c>
      <c r="H51" s="3445"/>
      <c r="I51" s="3451"/>
      <c r="J51" s="2757"/>
      <c r="K51" s="2630" t="s">
        <v>1894</v>
      </c>
      <c r="L51" s="3151"/>
      <c r="M51" s="3152"/>
      <c r="N51" s="3342"/>
      <c r="O51" s="3342"/>
      <c r="P51" s="3342"/>
      <c r="Q51" s="3152"/>
      <c r="R51" s="3152"/>
      <c r="S51" s="3153"/>
      <c r="Z51" s="1773">
        <v>51</v>
      </c>
    </row>
    <row r="52" spans="1:26" ht="6.75" customHeight="1">
      <c r="Z52" s="1773">
        <v>52</v>
      </c>
    </row>
    <row r="53" spans="1:26" s="289" customFormat="1" ht="13.35" customHeight="1">
      <c r="A53" s="291" t="s">
        <v>710</v>
      </c>
      <c r="B53" s="291" t="s">
        <v>622</v>
      </c>
      <c r="F53" s="291"/>
      <c r="G53" s="2630"/>
      <c r="H53" s="2630"/>
      <c r="I53" s="2630"/>
      <c r="J53" s="2629"/>
      <c r="K53" s="1053" t="s">
        <v>3613</v>
      </c>
      <c r="L53" s="2629"/>
      <c r="M53" s="2629"/>
      <c r="N53" s="2629"/>
      <c r="O53" s="2629"/>
      <c r="P53" s="2629"/>
      <c r="Q53" s="2629"/>
      <c r="R53" s="2629"/>
      <c r="S53" s="2629"/>
      <c r="Z53" s="1773">
        <v>53</v>
      </c>
    </row>
    <row r="54" spans="1:26" s="289" customFormat="1" ht="3" customHeight="1">
      <c r="A54" s="291"/>
      <c r="B54" s="291"/>
      <c r="F54" s="291"/>
      <c r="G54" s="2630"/>
      <c r="H54" s="2761"/>
      <c r="I54" s="2761"/>
      <c r="J54" s="2761"/>
      <c r="K54" s="2618"/>
      <c r="L54" s="2761"/>
      <c r="M54" s="2761"/>
      <c r="N54" s="2618"/>
      <c r="O54" s="2759"/>
      <c r="P54" s="2759"/>
      <c r="Q54" s="2630"/>
      <c r="R54" s="2759"/>
      <c r="S54" s="2759"/>
      <c r="Z54" s="1773">
        <v>54</v>
      </c>
    </row>
    <row r="55" spans="1:26" s="289" customFormat="1" ht="11.25" customHeight="1">
      <c r="B55" s="291" t="s">
        <v>1893</v>
      </c>
      <c r="C55" s="291" t="s">
        <v>271</v>
      </c>
      <c r="H55" s="3379" t="s">
        <v>6877</v>
      </c>
      <c r="I55" s="3382"/>
      <c r="J55" s="3382"/>
      <c r="K55" s="3382"/>
      <c r="L55" s="3382"/>
      <c r="M55" s="3382"/>
      <c r="N55" s="3383"/>
      <c r="O55" s="2620" t="s">
        <v>1899</v>
      </c>
      <c r="P55" s="2620"/>
      <c r="Q55" s="3379" t="s">
        <v>6854</v>
      </c>
      <c r="R55" s="3382"/>
      <c r="S55" s="3383"/>
      <c r="Z55" s="1773">
        <v>55</v>
      </c>
    </row>
    <row r="56" spans="1:26" s="289" customFormat="1" ht="11.25" customHeight="1">
      <c r="D56" s="326"/>
      <c r="E56" s="2621" t="s">
        <v>982</v>
      </c>
      <c r="F56" s="301"/>
      <c r="H56" s="3289" t="s">
        <v>6856</v>
      </c>
      <c r="I56" s="3447"/>
      <c r="J56" s="3447"/>
      <c r="K56" s="3448"/>
      <c r="L56" s="3447"/>
      <c r="M56" s="3447"/>
      <c r="N56" s="3449"/>
      <c r="O56" s="2620" t="s">
        <v>1668</v>
      </c>
      <c r="Q56" s="3154" t="s">
        <v>6858</v>
      </c>
      <c r="R56" s="3268"/>
      <c r="S56" s="3269"/>
      <c r="Z56" s="1773">
        <v>56</v>
      </c>
    </row>
    <row r="57" spans="1:26" s="289" customFormat="1" ht="11.25" customHeight="1">
      <c r="D57" s="326"/>
      <c r="E57" s="2621" t="s">
        <v>588</v>
      </c>
      <c r="H57" s="3289" t="s">
        <v>361</v>
      </c>
      <c r="I57" s="3448"/>
      <c r="J57" s="3282"/>
      <c r="K57" s="2624" t="s">
        <v>2553</v>
      </c>
      <c r="L57" s="3289" t="s">
        <v>6880</v>
      </c>
      <c r="M57" s="3447"/>
      <c r="N57" s="3282"/>
      <c r="O57" s="2620" t="s">
        <v>1644</v>
      </c>
      <c r="Q57" s="3140">
        <v>6785928103</v>
      </c>
      <c r="R57" s="3141"/>
      <c r="S57" s="3142"/>
      <c r="Z57" s="1773">
        <v>57</v>
      </c>
    </row>
    <row r="58" spans="1:26" s="289" customFormat="1" ht="11.25" customHeight="1">
      <c r="E58" s="2621" t="s">
        <v>1717</v>
      </c>
      <c r="H58" s="2695" t="s">
        <v>815</v>
      </c>
      <c r="K58" s="916" t="s">
        <v>2128</v>
      </c>
      <c r="L58" s="3322">
        <v>300675433</v>
      </c>
      <c r="M58" s="3450"/>
      <c r="O58" s="2620" t="s">
        <v>1889</v>
      </c>
      <c r="Q58" s="3140">
        <v>6785928103</v>
      </c>
      <c r="R58" s="3141"/>
      <c r="S58" s="3142"/>
      <c r="Z58" s="1773">
        <v>58</v>
      </c>
    </row>
    <row r="59" spans="1:26" s="289" customFormat="1" ht="11.25" customHeight="1">
      <c r="D59" s="326"/>
      <c r="E59" s="2621" t="s">
        <v>3614</v>
      </c>
      <c r="H59" s="3445">
        <v>7707434124</v>
      </c>
      <c r="I59" s="3451"/>
      <c r="J59" s="2757">
        <v>2</v>
      </c>
      <c r="K59" s="2630" t="s">
        <v>1894</v>
      </c>
      <c r="L59" s="3151" t="s">
        <v>6857</v>
      </c>
      <c r="M59" s="3152"/>
      <c r="N59" s="3342"/>
      <c r="O59" s="3342"/>
      <c r="P59" s="3342"/>
      <c r="Q59" s="3152"/>
      <c r="R59" s="3152"/>
      <c r="S59" s="3153"/>
      <c r="Z59" s="1773">
        <v>59</v>
      </c>
    </row>
    <row r="60" spans="1:26" s="289" customFormat="1" ht="6.6" customHeight="1">
      <c r="D60" s="326"/>
      <c r="E60" s="2629"/>
      <c r="F60" s="2629"/>
      <c r="G60" s="2620"/>
      <c r="H60" s="2758"/>
      <c r="I60" s="2758"/>
      <c r="J60" s="2758"/>
      <c r="K60" s="2630"/>
      <c r="L60" s="2758"/>
      <c r="M60" s="2758"/>
      <c r="N60" s="2618"/>
      <c r="O60" s="2759"/>
      <c r="P60" s="2759"/>
      <c r="Q60" s="2630"/>
      <c r="R60" s="2759"/>
      <c r="S60" s="2759"/>
      <c r="Z60" s="1773">
        <v>60</v>
      </c>
    </row>
    <row r="61" spans="1:26" s="289" customFormat="1" ht="11.25" customHeight="1">
      <c r="B61" s="291" t="s">
        <v>1895</v>
      </c>
      <c r="C61" s="291" t="s">
        <v>272</v>
      </c>
      <c r="H61" s="3379" t="s">
        <v>6983</v>
      </c>
      <c r="I61" s="3382"/>
      <c r="J61" s="3382"/>
      <c r="K61" s="3382"/>
      <c r="L61" s="3382"/>
      <c r="M61" s="3382"/>
      <c r="N61" s="3383"/>
      <c r="O61" s="2620" t="s">
        <v>1899</v>
      </c>
      <c r="P61" s="2620"/>
      <c r="Q61" s="3379" t="s">
        <v>6981</v>
      </c>
      <c r="R61" s="3382"/>
      <c r="S61" s="3383"/>
      <c r="Z61" s="1773">
        <v>61</v>
      </c>
    </row>
    <row r="62" spans="1:26" s="289" customFormat="1" ht="11.25" customHeight="1">
      <c r="D62" s="326"/>
      <c r="E62" s="2621" t="s">
        <v>982</v>
      </c>
      <c r="F62" s="301"/>
      <c r="H62" s="3289" t="s">
        <v>6882</v>
      </c>
      <c r="I62" s="3447"/>
      <c r="J62" s="3447"/>
      <c r="K62" s="3448"/>
      <c r="L62" s="3447"/>
      <c r="M62" s="3447"/>
      <c r="N62" s="3449"/>
      <c r="O62" s="2620" t="s">
        <v>1668</v>
      </c>
      <c r="Q62" s="3154" t="s">
        <v>6855</v>
      </c>
      <c r="R62" s="3268"/>
      <c r="S62" s="3269"/>
      <c r="Z62" s="1773">
        <v>62</v>
      </c>
    </row>
    <row r="63" spans="1:26" s="289" customFormat="1" ht="11.25" customHeight="1">
      <c r="D63" s="326"/>
      <c r="E63" s="2621" t="s">
        <v>588</v>
      </c>
      <c r="H63" s="3289" t="s">
        <v>1395</v>
      </c>
      <c r="I63" s="3448"/>
      <c r="J63" s="3282"/>
      <c r="K63" s="2624" t="s">
        <v>2553</v>
      </c>
      <c r="L63" s="3289" t="s">
        <v>2933</v>
      </c>
      <c r="M63" s="3447"/>
      <c r="N63" s="3282"/>
      <c r="O63" s="2620" t="s">
        <v>1644</v>
      </c>
      <c r="Q63" s="3140">
        <v>7702834091</v>
      </c>
      <c r="R63" s="3141"/>
      <c r="S63" s="3142"/>
      <c r="Z63" s="1773">
        <v>63</v>
      </c>
    </row>
    <row r="64" spans="1:26" s="289" customFormat="1" ht="11.25" customHeight="1">
      <c r="E64" s="2621" t="s">
        <v>1717</v>
      </c>
      <c r="H64" s="2695" t="s">
        <v>815</v>
      </c>
      <c r="K64" s="916" t="s">
        <v>2128</v>
      </c>
      <c r="L64" s="3322">
        <v>302691693</v>
      </c>
      <c r="M64" s="3450"/>
      <c r="O64" s="2620" t="s">
        <v>1889</v>
      </c>
      <c r="Q64" s="3140">
        <v>7702834091</v>
      </c>
      <c r="R64" s="3141"/>
      <c r="S64" s="3142"/>
      <c r="Z64" s="1773">
        <v>64</v>
      </c>
    </row>
    <row r="65" spans="1:26" s="289" customFormat="1" ht="11.25" customHeight="1">
      <c r="D65" s="326"/>
      <c r="E65" s="2621" t="s">
        <v>3614</v>
      </c>
      <c r="H65" s="3445">
        <v>7702834091</v>
      </c>
      <c r="I65" s="3451"/>
      <c r="J65" s="2757"/>
      <c r="K65" s="2630" t="s">
        <v>1894</v>
      </c>
      <c r="L65" s="3151" t="s">
        <v>6884</v>
      </c>
      <c r="M65" s="3152"/>
      <c r="N65" s="3342"/>
      <c r="O65" s="3342"/>
      <c r="P65" s="3342"/>
      <c r="Q65" s="3152"/>
      <c r="R65" s="3152"/>
      <c r="S65" s="3153"/>
      <c r="Z65" s="1773">
        <v>65</v>
      </c>
    </row>
    <row r="66" spans="1:26" s="289" customFormat="1" ht="6.6" customHeight="1">
      <c r="D66" s="326"/>
      <c r="E66" s="2629"/>
      <c r="F66" s="2629"/>
      <c r="G66" s="2620"/>
      <c r="H66" s="2758"/>
      <c r="I66" s="2758"/>
      <c r="J66" s="2758"/>
      <c r="K66" s="2630"/>
      <c r="L66" s="2758"/>
      <c r="M66" s="2758"/>
      <c r="N66" s="2618"/>
      <c r="O66" s="2759"/>
      <c r="P66" s="2759"/>
      <c r="Q66" s="2630"/>
      <c r="R66" s="2759"/>
      <c r="S66" s="2759"/>
      <c r="Z66" s="1773">
        <v>66</v>
      </c>
    </row>
    <row r="67" spans="1:26" s="289" customFormat="1" ht="11.25" customHeight="1">
      <c r="B67" s="291" t="s">
        <v>719</v>
      </c>
      <c r="C67" s="291" t="s">
        <v>1467</v>
      </c>
      <c r="H67" s="3379"/>
      <c r="I67" s="3382"/>
      <c r="J67" s="3382"/>
      <c r="K67" s="3382"/>
      <c r="L67" s="3382"/>
      <c r="M67" s="3382"/>
      <c r="N67" s="3383"/>
      <c r="O67" s="2620" t="s">
        <v>1899</v>
      </c>
      <c r="P67" s="2620"/>
      <c r="Q67" s="3379"/>
      <c r="R67" s="3382"/>
      <c r="S67" s="3383"/>
      <c r="Z67" s="1773">
        <v>67</v>
      </c>
    </row>
    <row r="68" spans="1:26" s="289" customFormat="1" ht="11.25" customHeight="1">
      <c r="D68" s="326"/>
      <c r="E68" s="2621" t="s">
        <v>982</v>
      </c>
      <c r="F68" s="301"/>
      <c r="H68" s="3289"/>
      <c r="I68" s="3447"/>
      <c r="J68" s="3447"/>
      <c r="K68" s="3448"/>
      <c r="L68" s="3447"/>
      <c r="M68" s="3447"/>
      <c r="N68" s="3449"/>
      <c r="O68" s="2620" t="s">
        <v>1668</v>
      </c>
      <c r="Q68" s="3154"/>
      <c r="R68" s="3268"/>
      <c r="S68" s="3269"/>
      <c r="Z68" s="1773">
        <v>68</v>
      </c>
    </row>
    <row r="69" spans="1:26" s="289" customFormat="1" ht="11.25" customHeight="1">
      <c r="D69" s="326"/>
      <c r="E69" s="2621" t="s">
        <v>588</v>
      </c>
      <c r="H69" s="3289"/>
      <c r="I69" s="3448"/>
      <c r="J69" s="3282"/>
      <c r="K69" s="2624" t="s">
        <v>2553</v>
      </c>
      <c r="L69" s="3289"/>
      <c r="M69" s="3447"/>
      <c r="N69" s="3282"/>
      <c r="O69" s="2620" t="s">
        <v>1644</v>
      </c>
      <c r="Q69" s="3140"/>
      <c r="R69" s="3141"/>
      <c r="S69" s="3142"/>
      <c r="Z69" s="1773">
        <v>69</v>
      </c>
    </row>
    <row r="70" spans="1:26" s="289" customFormat="1" ht="11.25" customHeight="1">
      <c r="E70" s="2621" t="s">
        <v>1717</v>
      </c>
      <c r="H70" s="2695"/>
      <c r="K70" s="916" t="s">
        <v>2128</v>
      </c>
      <c r="L70" s="3322"/>
      <c r="M70" s="3450"/>
      <c r="O70" s="2620" t="s">
        <v>1889</v>
      </c>
      <c r="Q70" s="3140"/>
      <c r="R70" s="3141"/>
      <c r="S70" s="3142"/>
      <c r="Z70" s="1773">
        <v>70</v>
      </c>
    </row>
    <row r="71" spans="1:26" s="289" customFormat="1" ht="11.25" customHeight="1">
      <c r="D71" s="326"/>
      <c r="E71" s="2621" t="s">
        <v>3614</v>
      </c>
      <c r="H71" s="3445"/>
      <c r="I71" s="3451"/>
      <c r="J71" s="2757"/>
      <c r="K71" s="2630" t="s">
        <v>1894</v>
      </c>
      <c r="L71" s="3151"/>
      <c r="M71" s="3152"/>
      <c r="N71" s="3342"/>
      <c r="O71" s="3342"/>
      <c r="P71" s="3342"/>
      <c r="Q71" s="3152"/>
      <c r="R71" s="3152"/>
      <c r="S71" s="3153"/>
      <c r="Z71" s="1773">
        <v>71</v>
      </c>
    </row>
    <row r="72" spans="1:26" ht="6.6" customHeight="1">
      <c r="H72" s="2758"/>
      <c r="I72" s="2758"/>
      <c r="J72" s="2758"/>
      <c r="K72" s="2630"/>
      <c r="L72" s="2758"/>
      <c r="M72" s="2758"/>
      <c r="N72" s="2618"/>
      <c r="O72" s="2759"/>
      <c r="P72" s="2759"/>
      <c r="Q72" s="2630"/>
      <c r="R72" s="2759"/>
      <c r="S72" s="2759"/>
      <c r="Z72" s="1773">
        <v>72</v>
      </c>
    </row>
    <row r="73" spans="1:26" s="289" customFormat="1" ht="11.25" customHeight="1">
      <c r="B73" s="291" t="s">
        <v>2021</v>
      </c>
      <c r="C73" s="291" t="s">
        <v>273</v>
      </c>
      <c r="H73" s="3379"/>
      <c r="I73" s="3382"/>
      <c r="J73" s="3382"/>
      <c r="K73" s="3382"/>
      <c r="L73" s="3382"/>
      <c r="M73" s="3382"/>
      <c r="N73" s="3383"/>
      <c r="O73" s="2620" t="s">
        <v>1899</v>
      </c>
      <c r="P73" s="2620"/>
      <c r="Q73" s="3379"/>
      <c r="R73" s="3382"/>
      <c r="S73" s="3383"/>
      <c r="Z73" s="1773">
        <v>73</v>
      </c>
    </row>
    <row r="74" spans="1:26" s="289" customFormat="1" ht="11.25" customHeight="1">
      <c r="D74" s="326"/>
      <c r="E74" s="2621" t="s">
        <v>982</v>
      </c>
      <c r="F74" s="301"/>
      <c r="H74" s="3289"/>
      <c r="I74" s="3447"/>
      <c r="J74" s="3447"/>
      <c r="K74" s="3448"/>
      <c r="L74" s="3447"/>
      <c r="M74" s="3447"/>
      <c r="N74" s="3449"/>
      <c r="O74" s="2620" t="s">
        <v>1668</v>
      </c>
      <c r="Q74" s="3154"/>
      <c r="R74" s="3268"/>
      <c r="S74" s="3269"/>
      <c r="Z74" s="1773">
        <v>74</v>
      </c>
    </row>
    <row r="75" spans="1:26" s="289" customFormat="1" ht="11.25" customHeight="1">
      <c r="D75" s="326"/>
      <c r="E75" s="2621" t="s">
        <v>588</v>
      </c>
      <c r="H75" s="3289"/>
      <c r="I75" s="3448"/>
      <c r="J75" s="3282"/>
      <c r="K75" s="2624" t="s">
        <v>2553</v>
      </c>
      <c r="L75" s="3289"/>
      <c r="M75" s="3447"/>
      <c r="N75" s="3282"/>
      <c r="O75" s="2620" t="s">
        <v>1644</v>
      </c>
      <c r="Q75" s="3140"/>
      <c r="R75" s="3141"/>
      <c r="S75" s="3142"/>
      <c r="Z75" s="1773">
        <v>75</v>
      </c>
    </row>
    <row r="76" spans="1:26" s="289" customFormat="1" ht="11.25" customHeight="1">
      <c r="E76" s="2621" t="s">
        <v>1717</v>
      </c>
      <c r="H76" s="2695"/>
      <c r="K76" s="916" t="s">
        <v>2128</v>
      </c>
      <c r="L76" s="3322"/>
      <c r="M76" s="3450"/>
      <c r="O76" s="2620" t="s">
        <v>1889</v>
      </c>
      <c r="Q76" s="3140"/>
      <c r="R76" s="3141"/>
      <c r="S76" s="3142"/>
      <c r="Z76" s="1773">
        <v>76</v>
      </c>
    </row>
    <row r="77" spans="1:26" s="289" customFormat="1" ht="11.25" customHeight="1">
      <c r="D77" s="326"/>
      <c r="E77" s="2621" t="s">
        <v>3614</v>
      </c>
      <c r="H77" s="3445"/>
      <c r="I77" s="3451"/>
      <c r="J77" s="2757"/>
      <c r="K77" s="2630" t="s">
        <v>1894</v>
      </c>
      <c r="L77" s="3151"/>
      <c r="M77" s="3152"/>
      <c r="N77" s="3342"/>
      <c r="O77" s="3342"/>
      <c r="P77" s="3342"/>
      <c r="Q77" s="3152"/>
      <c r="R77" s="3152"/>
      <c r="S77" s="315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1"/>
      <c r="I80" s="2761"/>
      <c r="J80" s="2761"/>
      <c r="K80" s="2618"/>
      <c r="L80" s="2761"/>
      <c r="M80" s="2761"/>
      <c r="N80" s="2618"/>
      <c r="O80" s="2759"/>
      <c r="P80" s="2759"/>
      <c r="Q80" s="2630"/>
      <c r="R80" s="2759"/>
      <c r="S80" s="2759"/>
      <c r="Z80" s="1773">
        <v>80</v>
      </c>
    </row>
    <row r="81" spans="2:26" s="289" customFormat="1" ht="11.25" customHeight="1">
      <c r="B81" s="291" t="s">
        <v>1893</v>
      </c>
      <c r="C81" s="291" t="s">
        <v>275</v>
      </c>
      <c r="H81" s="3379"/>
      <c r="I81" s="3382"/>
      <c r="J81" s="3382"/>
      <c r="K81" s="3382"/>
      <c r="L81" s="3382"/>
      <c r="M81" s="3382"/>
      <c r="N81" s="3383"/>
      <c r="O81" s="2620" t="s">
        <v>1899</v>
      </c>
      <c r="P81" s="2620"/>
      <c r="Q81" s="3379"/>
      <c r="R81" s="3382"/>
      <c r="S81" s="3383"/>
      <c r="Z81" s="1773">
        <v>81</v>
      </c>
    </row>
    <row r="82" spans="2:26" s="289" customFormat="1" ht="11.25" customHeight="1">
      <c r="D82" s="326"/>
      <c r="E82" s="2621" t="s">
        <v>982</v>
      </c>
      <c r="F82" s="301"/>
      <c r="H82" s="3289"/>
      <c r="I82" s="3447"/>
      <c r="J82" s="3447"/>
      <c r="K82" s="3448"/>
      <c r="L82" s="3447"/>
      <c r="M82" s="3447"/>
      <c r="N82" s="3449"/>
      <c r="O82" s="2620" t="s">
        <v>1668</v>
      </c>
      <c r="Q82" s="3154"/>
      <c r="R82" s="3268"/>
      <c r="S82" s="3269"/>
      <c r="Z82" s="1773">
        <v>82</v>
      </c>
    </row>
    <row r="83" spans="2:26" s="289" customFormat="1" ht="11.25" customHeight="1">
      <c r="D83" s="326"/>
      <c r="E83" s="2621" t="s">
        <v>588</v>
      </c>
      <c r="H83" s="3289"/>
      <c r="I83" s="3448"/>
      <c r="J83" s="3282"/>
      <c r="K83" s="2624" t="s">
        <v>2553</v>
      </c>
      <c r="L83" s="3289"/>
      <c r="M83" s="3447"/>
      <c r="N83" s="3282"/>
      <c r="O83" s="2620" t="s">
        <v>1644</v>
      </c>
      <c r="Q83" s="3140"/>
      <c r="R83" s="3141"/>
      <c r="S83" s="3142"/>
      <c r="Z83" s="1773">
        <v>83</v>
      </c>
    </row>
    <row r="84" spans="2:26" s="289" customFormat="1" ht="11.25" customHeight="1">
      <c r="E84" s="2621" t="s">
        <v>1717</v>
      </c>
      <c r="H84" s="2695"/>
      <c r="K84" s="916" t="s">
        <v>2128</v>
      </c>
      <c r="L84" s="3322"/>
      <c r="M84" s="3450"/>
      <c r="O84" s="2620" t="s">
        <v>1889</v>
      </c>
      <c r="Q84" s="3140"/>
      <c r="R84" s="3141"/>
      <c r="S84" s="3142"/>
      <c r="Z84" s="1773">
        <v>84</v>
      </c>
    </row>
    <row r="85" spans="2:26" s="289" customFormat="1" ht="11.25" customHeight="1">
      <c r="D85" s="326"/>
      <c r="E85" s="2621" t="s">
        <v>3614</v>
      </c>
      <c r="H85" s="3445"/>
      <c r="I85" s="3451"/>
      <c r="J85" s="2757"/>
      <c r="K85" s="2630" t="s">
        <v>1894</v>
      </c>
      <c r="L85" s="3151"/>
      <c r="M85" s="3152"/>
      <c r="N85" s="3342"/>
      <c r="O85" s="3342"/>
      <c r="P85" s="3342"/>
      <c r="Q85" s="3152"/>
      <c r="R85" s="3152"/>
      <c r="S85" s="3153"/>
      <c r="Z85" s="1773">
        <v>85</v>
      </c>
    </row>
    <row r="86" spans="2:26" ht="6.6" customHeight="1">
      <c r="H86" s="2758"/>
      <c r="I86" s="2758"/>
      <c r="J86" s="2758"/>
      <c r="K86" s="2630"/>
      <c r="L86" s="2758"/>
      <c r="M86" s="2758"/>
      <c r="N86" s="2618"/>
      <c r="O86" s="2759"/>
      <c r="P86" s="2759"/>
      <c r="Q86" s="2630"/>
      <c r="R86" s="2759"/>
      <c r="S86" s="2759"/>
      <c r="Z86" s="1773">
        <v>86</v>
      </c>
    </row>
    <row r="87" spans="2:26" s="289" customFormat="1" ht="11.25" customHeight="1">
      <c r="B87" s="291" t="s">
        <v>1895</v>
      </c>
      <c r="C87" s="291" t="s">
        <v>276</v>
      </c>
      <c r="H87" s="3379" t="s">
        <v>6997</v>
      </c>
      <c r="I87" s="3382"/>
      <c r="J87" s="3382"/>
      <c r="K87" s="3382"/>
      <c r="L87" s="3382"/>
      <c r="M87" s="3382"/>
      <c r="N87" s="3383"/>
      <c r="O87" s="2620" t="s">
        <v>1899</v>
      </c>
      <c r="P87" s="2620"/>
      <c r="Q87" s="3379" t="s">
        <v>6999</v>
      </c>
      <c r="R87" s="3382"/>
      <c r="S87" s="3383"/>
      <c r="Z87" s="1773">
        <v>87</v>
      </c>
    </row>
    <row r="88" spans="2:26" s="289" customFormat="1" ht="11.25" customHeight="1">
      <c r="D88" s="326"/>
      <c r="E88" s="2621" t="s">
        <v>982</v>
      </c>
      <c r="F88" s="301"/>
      <c r="H88" s="3289" t="s">
        <v>6998</v>
      </c>
      <c r="I88" s="3447"/>
      <c r="J88" s="3447"/>
      <c r="K88" s="3448"/>
      <c r="L88" s="3447"/>
      <c r="M88" s="3447"/>
      <c r="N88" s="3449"/>
      <c r="O88" s="2620" t="s">
        <v>1668</v>
      </c>
      <c r="Q88" s="3154" t="s">
        <v>6888</v>
      </c>
      <c r="R88" s="3268"/>
      <c r="S88" s="3269"/>
      <c r="Z88" s="1773">
        <v>88</v>
      </c>
    </row>
    <row r="89" spans="2:26" s="289" customFormat="1" ht="11.25" customHeight="1">
      <c r="D89" s="326"/>
      <c r="E89" s="2621" t="s">
        <v>588</v>
      </c>
      <c r="H89" s="3289" t="s">
        <v>1159</v>
      </c>
      <c r="I89" s="3448"/>
      <c r="J89" s="3282"/>
      <c r="K89" s="2624" t="s">
        <v>2553</v>
      </c>
      <c r="L89" s="3289" t="s">
        <v>7001</v>
      </c>
      <c r="M89" s="3447"/>
      <c r="N89" s="3282"/>
      <c r="O89" s="2620" t="s">
        <v>1644</v>
      </c>
      <c r="Q89" s="3140">
        <v>4049493882</v>
      </c>
      <c r="R89" s="3141"/>
      <c r="S89" s="3142"/>
      <c r="Z89" s="1773">
        <v>89</v>
      </c>
    </row>
    <row r="90" spans="2:26" s="289" customFormat="1" ht="11.25" customHeight="1">
      <c r="E90" s="2621" t="s">
        <v>1717</v>
      </c>
      <c r="H90" s="2695" t="s">
        <v>815</v>
      </c>
      <c r="K90" s="916" t="s">
        <v>2128</v>
      </c>
      <c r="L90" s="3322">
        <v>303273100</v>
      </c>
      <c r="M90" s="3450"/>
      <c r="O90" s="2620" t="s">
        <v>1889</v>
      </c>
      <c r="Q90" s="3140">
        <v>4043761063</v>
      </c>
      <c r="R90" s="3141"/>
      <c r="S90" s="3142"/>
      <c r="Z90" s="1773">
        <v>90</v>
      </c>
    </row>
    <row r="91" spans="2:26" s="289" customFormat="1" ht="11.25" customHeight="1">
      <c r="D91" s="326"/>
      <c r="E91" s="2621" t="s">
        <v>3614</v>
      </c>
      <c r="H91" s="3445">
        <v>4049493882</v>
      </c>
      <c r="I91" s="3451"/>
      <c r="J91" s="2757"/>
      <c r="K91" s="2630" t="s">
        <v>1894</v>
      </c>
      <c r="L91" s="3151" t="s">
        <v>7000</v>
      </c>
      <c r="M91" s="3152"/>
      <c r="N91" s="3342"/>
      <c r="O91" s="3342"/>
      <c r="P91" s="3342"/>
      <c r="Q91" s="3152"/>
      <c r="R91" s="3152"/>
      <c r="S91" s="3153"/>
      <c r="Z91" s="1773">
        <v>91</v>
      </c>
    </row>
    <row r="92" spans="2:26" ht="6.6" customHeight="1">
      <c r="H92" s="2758"/>
      <c r="I92" s="2758"/>
      <c r="J92" s="2758"/>
      <c r="K92" s="2630"/>
      <c r="L92" s="2758"/>
      <c r="M92" s="2758"/>
      <c r="N92" s="2618"/>
      <c r="O92" s="2759"/>
      <c r="P92" s="2759"/>
      <c r="Q92" s="2630"/>
      <c r="R92" s="2759"/>
      <c r="S92" s="2759"/>
      <c r="Z92" s="1773">
        <v>92</v>
      </c>
    </row>
    <row r="93" spans="2:26" s="289" customFormat="1" ht="11.25" customHeight="1">
      <c r="B93" s="291" t="s">
        <v>719</v>
      </c>
      <c r="C93" s="291" t="s">
        <v>277</v>
      </c>
      <c r="F93" s="307"/>
      <c r="H93" s="3379" t="s">
        <v>6885</v>
      </c>
      <c r="I93" s="3382"/>
      <c r="J93" s="3382"/>
      <c r="K93" s="3382"/>
      <c r="L93" s="3382"/>
      <c r="M93" s="3382"/>
      <c r="N93" s="3383"/>
      <c r="O93" s="2620" t="s">
        <v>1899</v>
      </c>
      <c r="P93" s="2620"/>
      <c r="Q93" s="3379" t="s">
        <v>6886</v>
      </c>
      <c r="R93" s="3382"/>
      <c r="S93" s="3383"/>
      <c r="Z93" s="1773">
        <v>93</v>
      </c>
    </row>
    <row r="94" spans="2:26" s="289" customFormat="1" ht="11.25" customHeight="1">
      <c r="D94" s="326"/>
      <c r="E94" s="2621" t="s">
        <v>982</v>
      </c>
      <c r="F94" s="301"/>
      <c r="H94" s="3289" t="s">
        <v>6887</v>
      </c>
      <c r="I94" s="3447"/>
      <c r="J94" s="3447"/>
      <c r="K94" s="3448"/>
      <c r="L94" s="3447"/>
      <c r="M94" s="3447"/>
      <c r="N94" s="3449"/>
      <c r="O94" s="2620" t="s">
        <v>1668</v>
      </c>
      <c r="Q94" s="3154" t="s">
        <v>6888</v>
      </c>
      <c r="R94" s="3268"/>
      <c r="S94" s="3269"/>
      <c r="Z94" s="1773">
        <v>94</v>
      </c>
    </row>
    <row r="95" spans="2:26" s="289" customFormat="1" ht="11.25" customHeight="1">
      <c r="D95" s="326"/>
      <c r="E95" s="2621" t="s">
        <v>588</v>
      </c>
      <c r="H95" s="3289" t="s">
        <v>2146</v>
      </c>
      <c r="I95" s="3448"/>
      <c r="J95" s="3282"/>
      <c r="K95" s="2624" t="s">
        <v>2553</v>
      </c>
      <c r="L95" s="3289" t="s">
        <v>6889</v>
      </c>
      <c r="M95" s="3447"/>
      <c r="N95" s="3282"/>
      <c r="O95" s="2620" t="s">
        <v>1644</v>
      </c>
      <c r="Q95" s="3140">
        <v>6154906721</v>
      </c>
      <c r="R95" s="3141"/>
      <c r="S95" s="3142"/>
      <c r="Z95" s="1773">
        <v>95</v>
      </c>
    </row>
    <row r="96" spans="2:26" s="289" customFormat="1" ht="11.25" customHeight="1">
      <c r="D96" s="326"/>
      <c r="E96" s="2621" t="s">
        <v>1717</v>
      </c>
      <c r="H96" s="2695" t="s">
        <v>1309</v>
      </c>
      <c r="K96" s="916" t="s">
        <v>2128</v>
      </c>
      <c r="L96" s="3322">
        <v>372033100</v>
      </c>
      <c r="M96" s="3450"/>
      <c r="O96" s="2620" t="s">
        <v>1889</v>
      </c>
      <c r="Q96" s="3140">
        <v>6159696667</v>
      </c>
      <c r="R96" s="3141"/>
      <c r="S96" s="3142"/>
      <c r="Z96" s="1773">
        <v>96</v>
      </c>
    </row>
    <row r="97" spans="2:26" s="289" customFormat="1" ht="11.25" customHeight="1">
      <c r="D97" s="326"/>
      <c r="E97" s="2621" t="s">
        <v>3614</v>
      </c>
      <c r="H97" s="3445">
        <v>6154906700</v>
      </c>
      <c r="I97" s="3451"/>
      <c r="J97" s="2757"/>
      <c r="K97" s="2630" t="s">
        <v>1894</v>
      </c>
      <c r="L97" s="3151" t="s">
        <v>6890</v>
      </c>
      <c r="M97" s="3152"/>
      <c r="N97" s="3342"/>
      <c r="O97" s="3342"/>
      <c r="P97" s="3342"/>
      <c r="Q97" s="3152"/>
      <c r="R97" s="3152"/>
      <c r="S97" s="3153"/>
      <c r="Z97" s="1773">
        <v>97</v>
      </c>
    </row>
    <row r="98" spans="2:26" ht="6.6" customHeight="1">
      <c r="H98" s="2758"/>
      <c r="I98" s="2758"/>
      <c r="J98" s="2758"/>
      <c r="K98" s="2630"/>
      <c r="L98" s="2758"/>
      <c r="M98" s="2758"/>
      <c r="N98" s="2618"/>
      <c r="O98" s="2759"/>
      <c r="P98" s="2759"/>
      <c r="Q98" s="2630"/>
      <c r="R98" s="2759"/>
      <c r="S98" s="2759"/>
      <c r="Z98" s="1773">
        <v>98</v>
      </c>
    </row>
    <row r="99" spans="2:26" s="289" customFormat="1" ht="11.25" customHeight="1">
      <c r="B99" s="291" t="s">
        <v>2021</v>
      </c>
      <c r="C99" s="291" t="s">
        <v>278</v>
      </c>
      <c r="H99" s="3379" t="s">
        <v>6891</v>
      </c>
      <c r="I99" s="3382"/>
      <c r="J99" s="3382"/>
      <c r="K99" s="3382"/>
      <c r="L99" s="3382"/>
      <c r="M99" s="3382"/>
      <c r="N99" s="3383"/>
      <c r="O99" s="2730" t="s">
        <v>1899</v>
      </c>
      <c r="P99" s="2730"/>
      <c r="Q99" s="3379" t="s">
        <v>6892</v>
      </c>
      <c r="R99" s="3382"/>
      <c r="S99" s="3383"/>
      <c r="Z99" s="1773">
        <v>99</v>
      </c>
    </row>
    <row r="100" spans="2:26" s="289" customFormat="1" ht="11.25" customHeight="1">
      <c r="D100" s="326"/>
      <c r="E100" s="2621" t="s">
        <v>982</v>
      </c>
      <c r="F100" s="301"/>
      <c r="H100" s="3289" t="s">
        <v>6893</v>
      </c>
      <c r="I100" s="3447"/>
      <c r="J100" s="3447"/>
      <c r="K100" s="3448"/>
      <c r="L100" s="3447"/>
      <c r="M100" s="3447"/>
      <c r="N100" s="3449"/>
      <c r="O100" s="2730" t="s">
        <v>1668</v>
      </c>
      <c r="P100" s="166"/>
      <c r="Q100" s="3154" t="s">
        <v>6858</v>
      </c>
      <c r="R100" s="3268"/>
      <c r="S100" s="3269"/>
      <c r="Z100" s="1773">
        <v>100</v>
      </c>
    </row>
    <row r="101" spans="2:26" s="289" customFormat="1" ht="11.25" customHeight="1">
      <c r="D101" s="326"/>
      <c r="E101" s="2621" t="s">
        <v>588</v>
      </c>
      <c r="H101" s="3289" t="s">
        <v>1159</v>
      </c>
      <c r="I101" s="3448"/>
      <c r="J101" s="3282"/>
      <c r="K101" s="361" t="s">
        <v>2553</v>
      </c>
      <c r="L101" s="3289" t="s">
        <v>6894</v>
      </c>
      <c r="M101" s="3447"/>
      <c r="N101" s="3282"/>
      <c r="O101" s="2730" t="s">
        <v>1644</v>
      </c>
      <c r="P101" s="166"/>
      <c r="Q101" s="3140">
        <v>4048737014</v>
      </c>
      <c r="R101" s="3141"/>
      <c r="S101" s="3142"/>
      <c r="Z101" s="1773">
        <v>101</v>
      </c>
    </row>
    <row r="102" spans="2:26" s="289" customFormat="1" ht="11.25" customHeight="1">
      <c r="D102" s="326"/>
      <c r="E102" s="2621" t="s">
        <v>1717</v>
      </c>
      <c r="H102" s="2695" t="s">
        <v>815</v>
      </c>
      <c r="I102" s="166"/>
      <c r="J102" s="166"/>
      <c r="K102" s="2623" t="s">
        <v>2128</v>
      </c>
      <c r="L102" s="3322">
        <v>303631031</v>
      </c>
      <c r="M102" s="3450"/>
      <c r="N102" s="166"/>
      <c r="O102" s="2730" t="s">
        <v>1889</v>
      </c>
      <c r="P102" s="166"/>
      <c r="Q102" s="3140">
        <v>4042340004</v>
      </c>
      <c r="R102" s="3141"/>
      <c r="S102" s="3142"/>
      <c r="Z102" s="1773">
        <v>102</v>
      </c>
    </row>
    <row r="103" spans="2:26" ht="11.25" customHeight="1">
      <c r="E103" s="2621" t="s">
        <v>3614</v>
      </c>
      <c r="F103" s="289"/>
      <c r="G103" s="289"/>
      <c r="H103" s="3445">
        <v>4048737014</v>
      </c>
      <c r="I103" s="3446"/>
      <c r="J103" s="2754"/>
      <c r="K103" s="361" t="s">
        <v>1894</v>
      </c>
      <c r="L103" s="3157" t="s">
        <v>6895</v>
      </c>
      <c r="M103" s="3158"/>
      <c r="N103" s="3165"/>
      <c r="O103" s="3165"/>
      <c r="P103" s="3165"/>
      <c r="Q103" s="3158"/>
      <c r="R103" s="3158"/>
      <c r="S103" s="3159"/>
      <c r="Z103" s="1773">
        <v>103</v>
      </c>
    </row>
    <row r="104" spans="2:26" ht="6" customHeight="1">
      <c r="E104" s="2621"/>
      <c r="F104" s="289"/>
      <c r="G104" s="2629"/>
      <c r="H104" s="2758"/>
      <c r="I104" s="2758"/>
      <c r="J104" s="2758"/>
      <c r="K104" s="2630"/>
      <c r="L104" s="2758"/>
      <c r="M104" s="2758"/>
      <c r="N104" s="2618"/>
      <c r="O104" s="2759"/>
      <c r="P104" s="2759"/>
      <c r="Q104" s="2630"/>
      <c r="R104" s="2759"/>
      <c r="S104" s="2759"/>
      <c r="Z104" s="1773">
        <v>104</v>
      </c>
    </row>
    <row r="105" spans="2:26" s="289" customFormat="1" ht="11.25" customHeight="1">
      <c r="B105" s="291" t="s">
        <v>1656</v>
      </c>
      <c r="C105" s="291" t="s">
        <v>279</v>
      </c>
      <c r="H105" s="3379" t="s">
        <v>6896</v>
      </c>
      <c r="I105" s="3382"/>
      <c r="J105" s="3382"/>
      <c r="K105" s="3382"/>
      <c r="L105" s="3382"/>
      <c r="M105" s="3382"/>
      <c r="N105" s="3383"/>
      <c r="O105" s="2730" t="s">
        <v>1899</v>
      </c>
      <c r="P105" s="2730"/>
      <c r="Q105" s="3379" t="s">
        <v>6897</v>
      </c>
      <c r="R105" s="3382"/>
      <c r="S105" s="3383"/>
      <c r="Z105" s="1773">
        <v>105</v>
      </c>
    </row>
    <row r="106" spans="2:26" s="289" customFormat="1" ht="11.25" customHeight="1">
      <c r="D106" s="326"/>
      <c r="E106" s="2621" t="s">
        <v>982</v>
      </c>
      <c r="F106" s="301"/>
      <c r="H106" s="3289" t="s">
        <v>6898</v>
      </c>
      <c r="I106" s="3447"/>
      <c r="J106" s="3447"/>
      <c r="K106" s="3448"/>
      <c r="L106" s="3447"/>
      <c r="M106" s="3447"/>
      <c r="N106" s="3449"/>
      <c r="O106" s="2730" t="s">
        <v>1668</v>
      </c>
      <c r="P106" s="166"/>
      <c r="Q106" s="3154" t="s">
        <v>6858</v>
      </c>
      <c r="R106" s="3268"/>
      <c r="S106" s="3269"/>
      <c r="Z106" s="1773">
        <v>106</v>
      </c>
    </row>
    <row r="107" spans="2:26" s="289" customFormat="1" ht="11.25" customHeight="1">
      <c r="D107" s="326"/>
      <c r="E107" s="2621" t="s">
        <v>588</v>
      </c>
      <c r="H107" s="3289" t="s">
        <v>1159</v>
      </c>
      <c r="I107" s="3448"/>
      <c r="J107" s="3282"/>
      <c r="K107" s="361" t="s">
        <v>2553</v>
      </c>
      <c r="L107" s="3289" t="s">
        <v>6899</v>
      </c>
      <c r="M107" s="3447"/>
      <c r="N107" s="3282"/>
      <c r="O107" s="2730" t="s">
        <v>1644</v>
      </c>
      <c r="P107" s="166"/>
      <c r="Q107" s="3140">
        <v>4048479447</v>
      </c>
      <c r="R107" s="3141"/>
      <c r="S107" s="3142"/>
      <c r="Z107" s="1773">
        <v>107</v>
      </c>
    </row>
    <row r="108" spans="2:26" s="289" customFormat="1" ht="11.25" customHeight="1">
      <c r="D108" s="326"/>
      <c r="E108" s="2621" t="s">
        <v>1717</v>
      </c>
      <c r="H108" s="2695" t="s">
        <v>815</v>
      </c>
      <c r="I108" s="166"/>
      <c r="J108" s="166"/>
      <c r="K108" s="2623" t="s">
        <v>2128</v>
      </c>
      <c r="L108" s="3322">
        <v>303264726</v>
      </c>
      <c r="M108" s="3450"/>
      <c r="N108" s="166"/>
      <c r="O108" s="2730" t="s">
        <v>1889</v>
      </c>
      <c r="P108" s="166"/>
      <c r="Q108" s="3140">
        <v>6785760400</v>
      </c>
      <c r="R108" s="3141"/>
      <c r="S108" s="3142"/>
      <c r="Z108" s="1773">
        <v>108</v>
      </c>
    </row>
    <row r="109" spans="2:26" ht="11.25" customHeight="1">
      <c r="E109" s="2621" t="s">
        <v>3614</v>
      </c>
      <c r="F109" s="289"/>
      <c r="G109" s="289"/>
      <c r="H109" s="3445">
        <v>4048479447</v>
      </c>
      <c r="I109" s="3446"/>
      <c r="J109" s="2754"/>
      <c r="K109" s="361" t="s">
        <v>1894</v>
      </c>
      <c r="L109" s="3157" t="s">
        <v>6900</v>
      </c>
      <c r="M109" s="3158"/>
      <c r="N109" s="3165"/>
      <c r="O109" s="3165"/>
      <c r="P109" s="3165"/>
      <c r="Q109" s="3158"/>
      <c r="R109" s="3158"/>
      <c r="S109" s="3159"/>
      <c r="Z109" s="1773">
        <v>109</v>
      </c>
    </row>
    <row r="110" spans="2:26" ht="6.6" customHeight="1">
      <c r="E110" s="2621"/>
      <c r="F110" s="289"/>
      <c r="G110" s="2629"/>
      <c r="H110" s="2758"/>
      <c r="I110" s="2758"/>
      <c r="J110" s="2758"/>
      <c r="K110" s="2630"/>
      <c r="L110" s="2758"/>
      <c r="M110" s="2758"/>
      <c r="N110" s="2618"/>
      <c r="O110" s="2759"/>
      <c r="P110" s="2759"/>
      <c r="Q110" s="2630"/>
      <c r="R110" s="2759"/>
      <c r="S110" s="2759"/>
      <c r="Z110" s="1773">
        <v>110</v>
      </c>
    </row>
    <row r="111" spans="2:26" s="289" customFormat="1" ht="11.25" customHeight="1">
      <c r="B111" s="291" t="s">
        <v>1657</v>
      </c>
      <c r="C111" s="291" t="s">
        <v>280</v>
      </c>
      <c r="H111" s="3379" t="s">
        <v>6901</v>
      </c>
      <c r="I111" s="3382"/>
      <c r="J111" s="3382"/>
      <c r="K111" s="3382"/>
      <c r="L111" s="3382"/>
      <c r="M111" s="3382"/>
      <c r="N111" s="3383"/>
      <c r="O111" s="2730" t="s">
        <v>1899</v>
      </c>
      <c r="P111" s="2730"/>
      <c r="Q111" s="3379" t="s">
        <v>6902</v>
      </c>
      <c r="R111" s="3382"/>
      <c r="S111" s="3383"/>
      <c r="Z111" s="1773">
        <v>111</v>
      </c>
    </row>
    <row r="112" spans="2:26" s="289" customFormat="1" ht="11.25" customHeight="1">
      <c r="D112" s="326"/>
      <c r="E112" s="2621" t="s">
        <v>982</v>
      </c>
      <c r="F112" s="301"/>
      <c r="H112" s="3289" t="s">
        <v>6903</v>
      </c>
      <c r="I112" s="3447"/>
      <c r="J112" s="3447"/>
      <c r="K112" s="3448"/>
      <c r="L112" s="3447"/>
      <c r="M112" s="3447"/>
      <c r="N112" s="3449"/>
      <c r="O112" s="2730" t="s">
        <v>1668</v>
      </c>
      <c r="P112" s="166"/>
      <c r="Q112" s="3154" t="s">
        <v>6858</v>
      </c>
      <c r="R112" s="3268"/>
      <c r="S112" s="3269"/>
      <c r="Z112" s="1773">
        <v>112</v>
      </c>
    </row>
    <row r="113" spans="1:26" s="289" customFormat="1" ht="11.25" customHeight="1">
      <c r="D113" s="326"/>
      <c r="E113" s="2621" t="s">
        <v>588</v>
      </c>
      <c r="H113" s="3289" t="s">
        <v>1159</v>
      </c>
      <c r="I113" s="3448"/>
      <c r="J113" s="3282"/>
      <c r="K113" s="361" t="s">
        <v>2553</v>
      </c>
      <c r="L113" s="3289" t="s">
        <v>6904</v>
      </c>
      <c r="M113" s="3447"/>
      <c r="N113" s="3282"/>
      <c r="O113" s="2730" t="s">
        <v>1644</v>
      </c>
      <c r="P113" s="166"/>
      <c r="Q113" s="3140">
        <v>4042281958</v>
      </c>
      <c r="R113" s="3141"/>
      <c r="S113" s="3142"/>
      <c r="Z113" s="1773">
        <v>113</v>
      </c>
    </row>
    <row r="114" spans="1:26" s="289" customFormat="1" ht="11.25" customHeight="1">
      <c r="D114" s="330"/>
      <c r="E114" s="2621" t="s">
        <v>1717</v>
      </c>
      <c r="H114" s="2695" t="s">
        <v>815</v>
      </c>
      <c r="I114" s="166"/>
      <c r="J114" s="166"/>
      <c r="K114" s="2623" t="s">
        <v>2128</v>
      </c>
      <c r="L114" s="3322">
        <v>303185419</v>
      </c>
      <c r="M114" s="3450"/>
      <c r="N114" s="166"/>
      <c r="O114" s="2730" t="s">
        <v>1889</v>
      </c>
      <c r="P114" s="166"/>
      <c r="Q114" s="3140">
        <v>4047979944</v>
      </c>
      <c r="R114" s="3141"/>
      <c r="S114" s="3142"/>
      <c r="Z114" s="1773">
        <v>114</v>
      </c>
    </row>
    <row r="115" spans="1:26" s="289" customFormat="1" ht="11.25" customHeight="1">
      <c r="D115" s="330"/>
      <c r="E115" s="2621" t="s">
        <v>3614</v>
      </c>
      <c r="H115" s="3445">
        <v>4042281958</v>
      </c>
      <c r="I115" s="3446"/>
      <c r="J115" s="2754"/>
      <c r="K115" s="361" t="s">
        <v>1894</v>
      </c>
      <c r="L115" s="3157" t="s">
        <v>6905</v>
      </c>
      <c r="M115" s="3158"/>
      <c r="N115" s="3165"/>
      <c r="O115" s="3165"/>
      <c r="P115" s="3165"/>
      <c r="Q115" s="3158"/>
      <c r="R115" s="3158"/>
      <c r="S115" s="3159"/>
      <c r="Z115" s="1773">
        <v>115</v>
      </c>
    </row>
    <row r="116" spans="1:26" ht="3" customHeight="1">
      <c r="Z116" s="1773">
        <v>116</v>
      </c>
    </row>
    <row r="117" spans="1:26" s="289" customFormat="1" ht="12" customHeight="1">
      <c r="A117" s="291" t="s">
        <v>1711</v>
      </c>
      <c r="B117" s="291" t="s">
        <v>2483</v>
      </c>
      <c r="F117" s="291"/>
      <c r="G117" s="2630"/>
      <c r="H117" s="2630"/>
      <c r="I117" s="2630"/>
      <c r="J117" s="2630"/>
      <c r="K117" s="2630"/>
      <c r="L117" s="2630"/>
      <c r="M117" s="2630"/>
      <c r="N117" s="2630"/>
      <c r="O117" s="2630"/>
      <c r="P117" s="2630"/>
      <c r="Q117" s="2624"/>
      <c r="Z117" s="1773">
        <v>117</v>
      </c>
    </row>
    <row r="118" spans="1:26" s="289" customFormat="1" ht="12" customHeight="1">
      <c r="A118" s="291"/>
      <c r="B118" s="291" t="s">
        <v>1893</v>
      </c>
      <c r="C118" s="291" t="s">
        <v>6486</v>
      </c>
      <c r="F118" s="291"/>
      <c r="G118" s="2630"/>
      <c r="H118" s="2630"/>
      <c r="I118" s="2630"/>
      <c r="J118" s="2630"/>
      <c r="K118" s="2630"/>
      <c r="L118" s="2630"/>
      <c r="M118" s="2630"/>
      <c r="N118" s="2630"/>
      <c r="O118" s="2630"/>
      <c r="P118" s="2630"/>
      <c r="Q118" s="2624"/>
      <c r="Z118" s="1773">
        <v>118</v>
      </c>
    </row>
    <row r="119" spans="1:26" ht="2.25" customHeight="1">
      <c r="Z119" s="1773">
        <v>119</v>
      </c>
    </row>
    <row r="120" spans="1:26" s="289" customFormat="1" ht="11.25" customHeight="1">
      <c r="C120" s="1750" t="s">
        <v>1896</v>
      </c>
      <c r="D120" s="291" t="s">
        <v>6781</v>
      </c>
      <c r="H120" s="3379" t="s">
        <v>6907</v>
      </c>
      <c r="I120" s="3380"/>
      <c r="J120" s="3381"/>
      <c r="K120" s="2630" t="s">
        <v>1716</v>
      </c>
      <c r="L120" s="3379" t="s">
        <v>6906</v>
      </c>
      <c r="M120" s="3382"/>
      <c r="N120" s="3383"/>
      <c r="O120" s="2621" t="s">
        <v>3261</v>
      </c>
      <c r="Q120" s="3384">
        <v>9122711313</v>
      </c>
      <c r="R120" s="3385"/>
      <c r="S120" s="3386"/>
      <c r="Z120" s="1773">
        <v>120</v>
      </c>
    </row>
    <row r="121" spans="1:26" s="289" customFormat="1" ht="11.25" customHeight="1">
      <c r="C121" s="291"/>
      <c r="D121" s="326"/>
      <c r="E121" s="2621" t="s">
        <v>6487</v>
      </c>
      <c r="F121" s="301"/>
      <c r="H121" s="3270" t="s">
        <v>6908</v>
      </c>
      <c r="I121" s="3375"/>
      <c r="J121" s="3376"/>
      <c r="K121" s="3271"/>
      <c r="L121" s="3375"/>
      <c r="M121" s="3375"/>
      <c r="N121" s="3377"/>
      <c r="O121" s="2621" t="s">
        <v>588</v>
      </c>
      <c r="Q121" s="3378" t="s">
        <v>1855</v>
      </c>
      <c r="R121" s="3274"/>
      <c r="S121" s="3275"/>
      <c r="Z121" s="1773">
        <v>121</v>
      </c>
    </row>
    <row r="122" spans="1:26" s="289" customFormat="1" ht="11.25" customHeight="1">
      <c r="C122" s="291"/>
      <c r="D122" s="326"/>
      <c r="E122" s="2621" t="s">
        <v>1717</v>
      </c>
      <c r="H122" s="2762" t="s">
        <v>815</v>
      </c>
      <c r="I122" s="916" t="s">
        <v>2128</v>
      </c>
      <c r="J122" s="3281">
        <v>313133638</v>
      </c>
      <c r="K122" s="3282"/>
      <c r="L122" s="2630" t="s">
        <v>1894</v>
      </c>
      <c r="M122" s="3280" t="s">
        <v>6909</v>
      </c>
      <c r="N122" s="3342"/>
      <c r="O122" s="3342"/>
      <c r="P122" s="3342"/>
      <c r="Q122" s="3152"/>
      <c r="R122" s="3152"/>
      <c r="S122" s="3153"/>
      <c r="Z122" s="1773">
        <v>122</v>
      </c>
    </row>
    <row r="123" spans="1:26" ht="2.25" customHeight="1">
      <c r="C123" s="315"/>
      <c r="Z123" s="1773">
        <v>123</v>
      </c>
    </row>
    <row r="124" spans="1:26" s="289" customFormat="1" ht="11.25" hidden="1" customHeight="1">
      <c r="C124" s="1750"/>
      <c r="D124" s="289" t="s">
        <v>6782</v>
      </c>
      <c r="H124" s="3379"/>
      <c r="I124" s="3380"/>
      <c r="J124" s="3381"/>
      <c r="K124" s="2630" t="s">
        <v>1716</v>
      </c>
      <c r="L124" s="3379"/>
      <c r="M124" s="3382"/>
      <c r="N124" s="3383"/>
      <c r="O124" s="2621" t="s">
        <v>3261</v>
      </c>
      <c r="Q124" s="3384"/>
      <c r="R124" s="3385"/>
      <c r="S124" s="3386"/>
      <c r="Z124" s="1773">
        <v>124</v>
      </c>
    </row>
    <row r="125" spans="1:26" s="289" customFormat="1" ht="11.25" hidden="1" customHeight="1">
      <c r="C125" s="291"/>
      <c r="D125" s="326"/>
      <c r="E125" s="2621" t="s">
        <v>6487</v>
      </c>
      <c r="F125" s="301"/>
      <c r="H125" s="3270"/>
      <c r="I125" s="3375"/>
      <c r="J125" s="3376"/>
      <c r="K125" s="3271"/>
      <c r="L125" s="3375"/>
      <c r="M125" s="3375"/>
      <c r="N125" s="3377"/>
      <c r="O125" s="2621" t="s">
        <v>588</v>
      </c>
      <c r="Q125" s="3378"/>
      <c r="R125" s="3274"/>
      <c r="S125" s="3275"/>
      <c r="Z125" s="1773">
        <v>125</v>
      </c>
    </row>
    <row r="126" spans="1:26" s="289" customFormat="1" ht="11.25" hidden="1" customHeight="1">
      <c r="C126" s="291"/>
      <c r="D126" s="326"/>
      <c r="E126" s="2621" t="s">
        <v>1717</v>
      </c>
      <c r="H126" s="2762"/>
      <c r="I126" s="916" t="s">
        <v>2128</v>
      </c>
      <c r="J126" s="3281"/>
      <c r="K126" s="3282"/>
      <c r="L126" s="2630" t="s">
        <v>1894</v>
      </c>
      <c r="M126" s="3280"/>
      <c r="N126" s="3342"/>
      <c r="O126" s="3342"/>
      <c r="P126" s="3342"/>
      <c r="Q126" s="3152"/>
      <c r="R126" s="3152"/>
      <c r="S126" s="3153"/>
      <c r="Z126" s="1773">
        <v>126</v>
      </c>
    </row>
    <row r="127" spans="1:26" ht="2.25" hidden="1" customHeight="1">
      <c r="C127" s="315"/>
      <c r="Z127" s="1773">
        <v>127</v>
      </c>
    </row>
    <row r="128" spans="1:26" s="289" customFormat="1" ht="11.25" hidden="1" customHeight="1">
      <c r="C128" s="1750"/>
      <c r="D128" s="289" t="s">
        <v>6614</v>
      </c>
      <c r="H128" s="3379"/>
      <c r="I128" s="3380"/>
      <c r="J128" s="3381"/>
      <c r="K128" s="2630" t="s">
        <v>1716</v>
      </c>
      <c r="L128" s="3379"/>
      <c r="M128" s="3382"/>
      <c r="N128" s="3383"/>
      <c r="O128" s="2621" t="s">
        <v>3261</v>
      </c>
      <c r="Q128" s="3384"/>
      <c r="R128" s="3385"/>
      <c r="S128" s="3386"/>
      <c r="Z128" s="1773">
        <v>128</v>
      </c>
    </row>
    <row r="129" spans="3:26" s="289" customFormat="1" ht="11.25" hidden="1" customHeight="1">
      <c r="C129" s="291"/>
      <c r="D129" s="326"/>
      <c r="E129" s="2621" t="s">
        <v>6487</v>
      </c>
      <c r="F129" s="301"/>
      <c r="H129" s="3270"/>
      <c r="I129" s="3375"/>
      <c r="J129" s="3376"/>
      <c r="K129" s="3271"/>
      <c r="L129" s="3375"/>
      <c r="M129" s="3375"/>
      <c r="N129" s="3377"/>
      <c r="O129" s="2621" t="s">
        <v>588</v>
      </c>
      <c r="Q129" s="3378"/>
      <c r="R129" s="3274"/>
      <c r="S129" s="3275"/>
      <c r="Z129" s="1773">
        <v>129</v>
      </c>
    </row>
    <row r="130" spans="3:26" s="289" customFormat="1" ht="11.25" hidden="1" customHeight="1">
      <c r="C130" s="291"/>
      <c r="D130" s="326"/>
      <c r="E130" s="2621" t="s">
        <v>1717</v>
      </c>
      <c r="H130" s="2762"/>
      <c r="I130" s="916" t="s">
        <v>2128</v>
      </c>
      <c r="J130" s="3281"/>
      <c r="K130" s="3282"/>
      <c r="L130" s="2630" t="s">
        <v>1894</v>
      </c>
      <c r="M130" s="3280"/>
      <c r="N130" s="3342"/>
      <c r="O130" s="3342"/>
      <c r="P130" s="3342"/>
      <c r="Q130" s="3152"/>
      <c r="R130" s="3152"/>
      <c r="S130" s="3153"/>
      <c r="Z130" s="1773">
        <v>130</v>
      </c>
    </row>
    <row r="131" spans="3:26" ht="2.25" hidden="1" customHeight="1">
      <c r="C131" s="315"/>
      <c r="Z131" s="1773">
        <v>131</v>
      </c>
    </row>
    <row r="132" spans="3:26" s="289" customFormat="1" ht="11.25" hidden="1" customHeight="1">
      <c r="C132" s="1750"/>
      <c r="D132" s="289" t="s">
        <v>6792</v>
      </c>
      <c r="H132" s="3379"/>
      <c r="I132" s="3380"/>
      <c r="J132" s="3381"/>
      <c r="K132" s="2630" t="s">
        <v>1716</v>
      </c>
      <c r="L132" s="3379"/>
      <c r="M132" s="3382"/>
      <c r="N132" s="3383"/>
      <c r="O132" s="2621" t="s">
        <v>3261</v>
      </c>
      <c r="Q132" s="3384"/>
      <c r="R132" s="3385"/>
      <c r="S132" s="3386"/>
      <c r="Z132" s="1773">
        <v>132</v>
      </c>
    </row>
    <row r="133" spans="3:26" s="289" customFormat="1" ht="11.25" hidden="1" customHeight="1">
      <c r="C133" s="291"/>
      <c r="D133" s="326"/>
      <c r="E133" s="2621" t="s">
        <v>6487</v>
      </c>
      <c r="F133" s="301"/>
      <c r="H133" s="3270"/>
      <c r="I133" s="3375"/>
      <c r="J133" s="3376"/>
      <c r="K133" s="3271"/>
      <c r="L133" s="3375"/>
      <c r="M133" s="3375"/>
      <c r="N133" s="3377"/>
      <c r="O133" s="2621" t="s">
        <v>588</v>
      </c>
      <c r="Q133" s="3378"/>
      <c r="R133" s="3274"/>
      <c r="S133" s="3275"/>
      <c r="Z133" s="1773">
        <v>133</v>
      </c>
    </row>
    <row r="134" spans="3:26" s="289" customFormat="1" ht="11.25" hidden="1" customHeight="1">
      <c r="C134" s="291"/>
      <c r="D134" s="326"/>
      <c r="E134" s="2621" t="s">
        <v>1717</v>
      </c>
      <c r="H134" s="2762"/>
      <c r="I134" s="916" t="s">
        <v>2128</v>
      </c>
      <c r="J134" s="3281"/>
      <c r="K134" s="3282"/>
      <c r="L134" s="2630" t="s">
        <v>1894</v>
      </c>
      <c r="M134" s="3280"/>
      <c r="N134" s="3342"/>
      <c r="O134" s="3342"/>
      <c r="P134" s="3342"/>
      <c r="Q134" s="3152"/>
      <c r="R134" s="3152"/>
      <c r="S134" s="3153"/>
      <c r="Z134" s="1773">
        <v>134</v>
      </c>
    </row>
    <row r="135" spans="3:26" ht="2.25" hidden="1" customHeight="1">
      <c r="C135" s="315"/>
      <c r="Z135" s="1773">
        <v>135</v>
      </c>
    </row>
    <row r="136" spans="3:26" s="289" customFormat="1" ht="11.25" hidden="1" customHeight="1">
      <c r="C136" s="1750"/>
      <c r="D136" s="289" t="s">
        <v>6793</v>
      </c>
      <c r="H136" s="3379"/>
      <c r="I136" s="3380"/>
      <c r="J136" s="3381"/>
      <c r="K136" s="2630" t="s">
        <v>1716</v>
      </c>
      <c r="L136" s="3379"/>
      <c r="M136" s="3382"/>
      <c r="N136" s="3383"/>
      <c r="O136" s="2621" t="s">
        <v>3261</v>
      </c>
      <c r="Q136" s="3384"/>
      <c r="R136" s="3385"/>
      <c r="S136" s="3386"/>
      <c r="Z136" s="1773">
        <v>136</v>
      </c>
    </row>
    <row r="137" spans="3:26" s="289" customFormat="1" ht="11.25" hidden="1" customHeight="1">
      <c r="C137" s="291"/>
      <c r="D137" s="326"/>
      <c r="E137" s="2621" t="s">
        <v>6487</v>
      </c>
      <c r="F137" s="301"/>
      <c r="H137" s="3270"/>
      <c r="I137" s="3375"/>
      <c r="J137" s="3376"/>
      <c r="K137" s="3271"/>
      <c r="L137" s="3375"/>
      <c r="M137" s="3375"/>
      <c r="N137" s="3377"/>
      <c r="O137" s="2621" t="s">
        <v>588</v>
      </c>
      <c r="Q137" s="3378"/>
      <c r="R137" s="3274"/>
      <c r="S137" s="3275"/>
      <c r="Z137" s="1773">
        <v>137</v>
      </c>
    </row>
    <row r="138" spans="3:26" s="289" customFormat="1" ht="11.25" hidden="1" customHeight="1">
      <c r="C138" s="291"/>
      <c r="D138" s="326"/>
      <c r="E138" s="2621" t="s">
        <v>1717</v>
      </c>
      <c r="H138" s="2762"/>
      <c r="I138" s="916" t="s">
        <v>2128</v>
      </c>
      <c r="J138" s="3281"/>
      <c r="K138" s="3282"/>
      <c r="L138" s="2630" t="s">
        <v>1894</v>
      </c>
      <c r="M138" s="3280"/>
      <c r="N138" s="3342"/>
      <c r="O138" s="3342"/>
      <c r="P138" s="3342"/>
      <c r="Q138" s="3152"/>
      <c r="R138" s="3152"/>
      <c r="S138" s="3153"/>
      <c r="Z138" s="1773">
        <v>138</v>
      </c>
    </row>
    <row r="139" spans="3:26" ht="2.25" hidden="1" customHeight="1">
      <c r="C139" s="315"/>
      <c r="Z139" s="1773">
        <v>139</v>
      </c>
    </row>
    <row r="140" spans="3:26" s="289" customFormat="1" ht="11.25" hidden="1" customHeight="1">
      <c r="C140" s="1750"/>
      <c r="D140" s="289" t="s">
        <v>6794</v>
      </c>
      <c r="H140" s="3379"/>
      <c r="I140" s="3380"/>
      <c r="J140" s="3381"/>
      <c r="K140" s="2630" t="s">
        <v>1716</v>
      </c>
      <c r="L140" s="3379"/>
      <c r="M140" s="3382"/>
      <c r="N140" s="3383"/>
      <c r="O140" s="2621" t="s">
        <v>3261</v>
      </c>
      <c r="Q140" s="3384"/>
      <c r="R140" s="3385"/>
      <c r="S140" s="3386"/>
      <c r="Z140" s="1773">
        <v>140</v>
      </c>
    </row>
    <row r="141" spans="3:26" s="289" customFormat="1" ht="11.25" hidden="1" customHeight="1">
      <c r="C141" s="291"/>
      <c r="D141" s="326"/>
      <c r="E141" s="2621" t="s">
        <v>6487</v>
      </c>
      <c r="F141" s="301"/>
      <c r="H141" s="3270"/>
      <c r="I141" s="3375"/>
      <c r="J141" s="3376"/>
      <c r="K141" s="3271"/>
      <c r="L141" s="3375"/>
      <c r="M141" s="3375"/>
      <c r="N141" s="3377"/>
      <c r="O141" s="2621" t="s">
        <v>588</v>
      </c>
      <c r="Q141" s="3378"/>
      <c r="R141" s="3274"/>
      <c r="S141" s="3275"/>
      <c r="Z141" s="1773">
        <v>141</v>
      </c>
    </row>
    <row r="142" spans="3:26" s="289" customFormat="1" ht="11.25" hidden="1" customHeight="1">
      <c r="C142" s="291"/>
      <c r="D142" s="326"/>
      <c r="E142" s="2621" t="s">
        <v>1717</v>
      </c>
      <c r="H142" s="2762"/>
      <c r="I142" s="916" t="s">
        <v>2128</v>
      </c>
      <c r="J142" s="3281"/>
      <c r="K142" s="3282"/>
      <c r="L142" s="2630" t="s">
        <v>1894</v>
      </c>
      <c r="M142" s="3280"/>
      <c r="N142" s="3342"/>
      <c r="O142" s="3342"/>
      <c r="P142" s="3342"/>
      <c r="Q142" s="3152"/>
      <c r="R142" s="3152"/>
      <c r="S142" s="3153"/>
      <c r="Z142" s="1773">
        <v>142</v>
      </c>
    </row>
    <row r="143" spans="3:26" ht="2.25" hidden="1" customHeight="1">
      <c r="C143" s="315"/>
      <c r="Z143" s="1773">
        <v>143</v>
      </c>
    </row>
    <row r="144" spans="3:26" s="289" customFormat="1" ht="11.25" customHeight="1">
      <c r="C144" s="1750" t="s">
        <v>1898</v>
      </c>
      <c r="D144" s="289" t="s">
        <v>6779</v>
      </c>
      <c r="H144" s="3379"/>
      <c r="I144" s="3380"/>
      <c r="J144" s="3381"/>
      <c r="K144" s="2630" t="s">
        <v>1716</v>
      </c>
      <c r="L144" s="3379"/>
      <c r="M144" s="3382"/>
      <c r="N144" s="3383"/>
      <c r="O144" s="2621" t="s">
        <v>3261</v>
      </c>
      <c r="Q144" s="3384"/>
      <c r="R144" s="3385"/>
      <c r="S144" s="3386"/>
      <c r="Z144" s="1773">
        <v>144</v>
      </c>
    </row>
    <row r="145" spans="1:26" s="289" customFormat="1" ht="11.25" customHeight="1">
      <c r="C145" s="291"/>
      <c r="D145" s="326"/>
      <c r="E145" s="2621" t="s">
        <v>6487</v>
      </c>
      <c r="F145" s="301"/>
      <c r="H145" s="3270"/>
      <c r="I145" s="3375"/>
      <c r="J145" s="3376"/>
      <c r="K145" s="3271"/>
      <c r="L145" s="3375"/>
      <c r="M145" s="3375"/>
      <c r="N145" s="3377"/>
      <c r="O145" s="2621" t="s">
        <v>588</v>
      </c>
      <c r="Q145" s="3378"/>
      <c r="R145" s="3274"/>
      <c r="S145" s="3275"/>
      <c r="Z145" s="1773">
        <v>145</v>
      </c>
    </row>
    <row r="146" spans="1:26" s="289" customFormat="1" ht="11.25" customHeight="1">
      <c r="C146" s="291"/>
      <c r="D146" s="326"/>
      <c r="E146" s="2621" t="s">
        <v>1717</v>
      </c>
      <c r="H146" s="2762"/>
      <c r="I146" s="916" t="s">
        <v>2128</v>
      </c>
      <c r="J146" s="3281"/>
      <c r="K146" s="3282"/>
      <c r="L146" s="2630" t="s">
        <v>1894</v>
      </c>
      <c r="M146" s="3280"/>
      <c r="N146" s="3342"/>
      <c r="O146" s="3342"/>
      <c r="P146" s="3342"/>
      <c r="Q146" s="3152"/>
      <c r="R146" s="3152"/>
      <c r="S146" s="3153"/>
      <c r="Z146" s="1773">
        <v>146</v>
      </c>
    </row>
    <row r="147" spans="1:26" ht="2.25" customHeight="1">
      <c r="C147" s="315"/>
      <c r="Z147" s="1773">
        <v>147</v>
      </c>
    </row>
    <row r="148" spans="1:26" s="289" customFormat="1" ht="11.25" customHeight="1">
      <c r="C148" s="1750" t="s">
        <v>2416</v>
      </c>
      <c r="D148" s="289" t="s">
        <v>6780</v>
      </c>
      <c r="H148" s="3379"/>
      <c r="I148" s="3380"/>
      <c r="J148" s="3381"/>
      <c r="K148" s="2630" t="s">
        <v>1716</v>
      </c>
      <c r="L148" s="3379"/>
      <c r="M148" s="3382"/>
      <c r="N148" s="3383"/>
      <c r="O148" s="2621" t="s">
        <v>3261</v>
      </c>
      <c r="Q148" s="3384"/>
      <c r="R148" s="3385"/>
      <c r="S148" s="3386"/>
      <c r="Z148" s="1773">
        <v>148</v>
      </c>
    </row>
    <row r="149" spans="1:26" s="289" customFormat="1" ht="11.25" customHeight="1">
      <c r="D149" s="326"/>
      <c r="E149" s="2621" t="s">
        <v>6487</v>
      </c>
      <c r="F149" s="301"/>
      <c r="H149" s="3270"/>
      <c r="I149" s="3375"/>
      <c r="J149" s="3376"/>
      <c r="K149" s="3271"/>
      <c r="L149" s="3375"/>
      <c r="M149" s="3375"/>
      <c r="N149" s="3377"/>
      <c r="O149" s="2621" t="s">
        <v>588</v>
      </c>
      <c r="Q149" s="3378"/>
      <c r="R149" s="3274"/>
      <c r="S149" s="3275"/>
      <c r="Z149" s="1773">
        <v>149</v>
      </c>
    </row>
    <row r="150" spans="1:26" s="289" customFormat="1" ht="11.25" customHeight="1">
      <c r="D150" s="326"/>
      <c r="E150" s="2621" t="s">
        <v>1717</v>
      </c>
      <c r="H150" s="2762"/>
      <c r="I150" s="916" t="s">
        <v>2128</v>
      </c>
      <c r="J150" s="3281"/>
      <c r="K150" s="3282"/>
      <c r="L150" s="2630" t="s">
        <v>1894</v>
      </c>
      <c r="M150" s="3280"/>
      <c r="N150" s="3342"/>
      <c r="O150" s="3342"/>
      <c r="P150" s="3342"/>
      <c r="Q150" s="3152"/>
      <c r="R150" s="3152"/>
      <c r="S150" s="3153"/>
      <c r="Z150" s="1773">
        <v>150</v>
      </c>
    </row>
    <row r="151" spans="1:26" ht="6" customHeight="1">
      <c r="Z151" s="1773">
        <v>151</v>
      </c>
    </row>
    <row r="152" spans="1:26" ht="12" customHeight="1">
      <c r="B152" s="291" t="s">
        <v>1895</v>
      </c>
      <c r="C152" s="291" t="s">
        <v>4062</v>
      </c>
      <c r="H152" s="1296"/>
      <c r="I152" s="1296"/>
      <c r="J152" s="1296"/>
      <c r="K152" s="1296"/>
      <c r="L152" s="1296"/>
      <c r="M152" s="1296"/>
      <c r="N152" s="1296"/>
      <c r="O152" s="1296"/>
      <c r="P152" s="1296"/>
      <c r="Q152" s="1296"/>
      <c r="R152" s="1296"/>
      <c r="S152" s="1296"/>
      <c r="Z152" s="1773">
        <v>152</v>
      </c>
    </row>
    <row r="153" spans="1:26" ht="13.5" thickBot="1">
      <c r="A153" s="3387" t="s">
        <v>3436</v>
      </c>
      <c r="B153" s="3387"/>
      <c r="C153" s="3387"/>
      <c r="D153" s="3387"/>
      <c r="E153" s="3387"/>
      <c r="H153" s="2763" t="s">
        <v>2392</v>
      </c>
      <c r="I153" s="3369" t="s">
        <v>6796</v>
      </c>
      <c r="J153" s="3370"/>
      <c r="K153" s="3370"/>
      <c r="L153" s="3370"/>
      <c r="M153" s="3370"/>
      <c r="N153" s="3370"/>
      <c r="O153" s="3370"/>
      <c r="P153" s="3370"/>
      <c r="Q153" s="3370"/>
      <c r="R153" s="3370"/>
      <c r="S153" s="3371"/>
      <c r="Z153" s="1773">
        <v>153</v>
      </c>
    </row>
    <row r="154" spans="1:26" s="289" customFormat="1" ht="15" customHeight="1" thickBot="1">
      <c r="B154" s="1751" t="s">
        <v>1896</v>
      </c>
      <c r="C154" s="320" t="s">
        <v>2631</v>
      </c>
      <c r="E154" s="320"/>
      <c r="H154" s="2764" t="s">
        <v>2772</v>
      </c>
      <c r="I154" s="3465"/>
      <c r="J154" s="3392"/>
      <c r="K154" s="3392"/>
      <c r="L154" s="3392"/>
      <c r="M154" s="3392"/>
      <c r="N154" s="3392"/>
      <c r="O154" s="3392"/>
      <c r="P154" s="3392"/>
      <c r="Q154" s="3392"/>
      <c r="R154" s="3392"/>
      <c r="S154" s="3394"/>
      <c r="U154" s="3452" t="s">
        <v>1940</v>
      </c>
      <c r="V154" s="3452"/>
      <c r="Z154" s="1773">
        <v>154</v>
      </c>
    </row>
    <row r="155" spans="1:26" s="289" customFormat="1" ht="15" customHeight="1" thickBot="1">
      <c r="B155" s="550" t="s">
        <v>1898</v>
      </c>
      <c r="C155" s="469" t="s">
        <v>6485</v>
      </c>
      <c r="E155" s="320"/>
      <c r="H155" s="2764" t="s">
        <v>2772</v>
      </c>
      <c r="I155" s="3464"/>
      <c r="J155" s="3399"/>
      <c r="K155" s="3399"/>
      <c r="L155" s="3399"/>
      <c r="M155" s="3399"/>
      <c r="N155" s="3399"/>
      <c r="O155" s="3399"/>
      <c r="P155" s="3399"/>
      <c r="Q155" s="3399"/>
      <c r="R155" s="3399"/>
      <c r="S155" s="3401"/>
      <c r="U155" s="3452"/>
      <c r="V155" s="3452"/>
      <c r="Z155" s="1773">
        <v>155</v>
      </c>
    </row>
    <row r="156" spans="1:26" s="289" customFormat="1" ht="15" customHeight="1" thickBot="1">
      <c r="B156" s="550" t="s">
        <v>2416</v>
      </c>
      <c r="C156" s="469" t="s">
        <v>2670</v>
      </c>
      <c r="E156" s="320"/>
      <c r="H156" s="2764" t="s">
        <v>2772</v>
      </c>
      <c r="I156" s="3464"/>
      <c r="J156" s="3399"/>
      <c r="K156" s="3399"/>
      <c r="L156" s="3399"/>
      <c r="M156" s="3399"/>
      <c r="N156" s="3399"/>
      <c r="O156" s="3399"/>
      <c r="P156" s="3399"/>
      <c r="Q156" s="3399"/>
      <c r="R156" s="3399"/>
      <c r="S156" s="3401"/>
      <c r="U156" s="3452"/>
      <c r="V156" s="3452"/>
      <c r="Z156" s="1773">
        <v>156</v>
      </c>
    </row>
    <row r="157" spans="1:26" s="289" customFormat="1" ht="15" customHeight="1" thickBot="1">
      <c r="B157" s="550" t="s">
        <v>1178</v>
      </c>
      <c r="C157" s="469" t="s">
        <v>2632</v>
      </c>
      <c r="E157" s="320"/>
      <c r="H157" s="2764" t="s">
        <v>2772</v>
      </c>
      <c r="I157" s="3464"/>
      <c r="J157" s="3399"/>
      <c r="K157" s="3399"/>
      <c r="L157" s="3399"/>
      <c r="M157" s="3399"/>
      <c r="N157" s="3399"/>
      <c r="O157" s="3399"/>
      <c r="P157" s="3399"/>
      <c r="Q157" s="3399"/>
      <c r="R157" s="3399"/>
      <c r="S157" s="3401"/>
      <c r="U157" s="3452"/>
      <c r="V157" s="3452"/>
      <c r="Z157" s="1773">
        <v>157</v>
      </c>
    </row>
    <row r="158" spans="1:26" s="289" customFormat="1" ht="15" customHeight="1" thickBot="1">
      <c r="B158" s="550" t="s">
        <v>1179</v>
      </c>
      <c r="C158" s="469" t="s">
        <v>3195</v>
      </c>
      <c r="E158" s="320"/>
      <c r="H158" s="2764" t="s">
        <v>2769</v>
      </c>
      <c r="I158" s="3464" t="s">
        <v>6993</v>
      </c>
      <c r="J158" s="3399"/>
      <c r="K158" s="3399"/>
      <c r="L158" s="3399"/>
      <c r="M158" s="3399"/>
      <c r="N158" s="3399"/>
      <c r="O158" s="3399"/>
      <c r="P158" s="3399"/>
      <c r="Q158" s="3399"/>
      <c r="R158" s="3399"/>
      <c r="S158" s="3401"/>
      <c r="U158" s="3452"/>
      <c r="V158" s="3452"/>
      <c r="Z158" s="1773">
        <v>158</v>
      </c>
    </row>
    <row r="159" spans="1:26" s="289" customFormat="1" ht="15" customHeight="1" thickBot="1">
      <c r="B159" s="550" t="s">
        <v>1792</v>
      </c>
      <c r="C159" s="469" t="s">
        <v>3196</v>
      </c>
      <c r="E159" s="320"/>
      <c r="H159" s="2764" t="s">
        <v>2772</v>
      </c>
      <c r="I159" s="3464"/>
      <c r="J159" s="3399"/>
      <c r="K159" s="3399"/>
      <c r="L159" s="3399"/>
      <c r="M159" s="3399"/>
      <c r="N159" s="3399"/>
      <c r="O159" s="3399"/>
      <c r="P159" s="3399"/>
      <c r="Q159" s="3399"/>
      <c r="R159" s="3399"/>
      <c r="S159" s="3401"/>
      <c r="U159" s="3452"/>
      <c r="V159" s="3452"/>
      <c r="Z159" s="1773">
        <v>159</v>
      </c>
    </row>
    <row r="160" spans="1:26" s="289" customFormat="1" ht="15" customHeight="1" thickBot="1">
      <c r="B160" s="550" t="s">
        <v>481</v>
      </c>
      <c r="C160" s="469" t="s">
        <v>2633</v>
      </c>
      <c r="E160" s="320"/>
      <c r="H160" s="2764" t="s">
        <v>2772</v>
      </c>
      <c r="I160" s="3464"/>
      <c r="J160" s="3399"/>
      <c r="K160" s="3399"/>
      <c r="L160" s="3399"/>
      <c r="M160" s="3399"/>
      <c r="N160" s="3399"/>
      <c r="O160" s="3399"/>
      <c r="P160" s="3399"/>
      <c r="Q160" s="3399"/>
      <c r="R160" s="3399"/>
      <c r="S160" s="3401"/>
      <c r="Z160" s="1773">
        <v>160</v>
      </c>
    </row>
    <row r="161" spans="1:26" s="289" customFormat="1" ht="15" customHeight="1" thickBot="1">
      <c r="B161" s="550" t="s">
        <v>482</v>
      </c>
      <c r="C161" s="469" t="s">
        <v>4074</v>
      </c>
      <c r="E161" s="320"/>
      <c r="H161" s="2764" t="s">
        <v>2772</v>
      </c>
      <c r="I161" s="3464"/>
      <c r="J161" s="3399"/>
      <c r="K161" s="3399"/>
      <c r="L161" s="3399"/>
      <c r="M161" s="3399"/>
      <c r="N161" s="3399"/>
      <c r="O161" s="3399"/>
      <c r="P161" s="3399"/>
      <c r="Q161" s="3399"/>
      <c r="R161" s="3399"/>
      <c r="S161" s="3401"/>
      <c r="Z161" s="1773">
        <v>161</v>
      </c>
    </row>
    <row r="162" spans="1:26" s="289" customFormat="1" ht="15" customHeight="1" thickBot="1">
      <c r="B162" s="550" t="s">
        <v>4073</v>
      </c>
      <c r="C162" s="3372" t="s">
        <v>6795</v>
      </c>
      <c r="D162" s="3373"/>
      <c r="E162" s="3373"/>
      <c r="F162" s="3373"/>
      <c r="G162" s="3374"/>
      <c r="H162" s="2764" t="s">
        <v>2772</v>
      </c>
      <c r="I162" s="3463"/>
      <c r="J162" s="3436"/>
      <c r="K162" s="3436"/>
      <c r="L162" s="3436"/>
      <c r="M162" s="3436"/>
      <c r="N162" s="3436"/>
      <c r="O162" s="3436"/>
      <c r="P162" s="3436"/>
      <c r="Q162" s="3436"/>
      <c r="R162" s="3436"/>
      <c r="S162" s="3438"/>
      <c r="Z162" s="1773">
        <v>162</v>
      </c>
    </row>
    <row r="163" spans="1:26" s="289" customFormat="1" ht="13.35" customHeight="1">
      <c r="A163" s="291" t="s">
        <v>1711</v>
      </c>
      <c r="B163" s="291" t="s">
        <v>2639</v>
      </c>
      <c r="F163" s="291"/>
      <c r="G163" s="2630"/>
      <c r="H163" s="2630"/>
      <c r="I163" s="2630"/>
      <c r="J163" s="2630"/>
      <c r="K163" s="2630"/>
      <c r="L163" s="2630"/>
      <c r="M163" s="2630"/>
      <c r="N163" s="2630"/>
      <c r="O163" s="2630"/>
      <c r="P163" s="2630"/>
      <c r="Q163" s="2624"/>
      <c r="Z163" s="1773">
        <v>163</v>
      </c>
    </row>
    <row r="164" spans="1:26" s="289" customFormat="1" ht="2.25" customHeight="1">
      <c r="A164" s="291"/>
      <c r="B164" s="291"/>
      <c r="F164" s="291"/>
      <c r="G164" s="2630"/>
      <c r="H164" s="2630"/>
      <c r="I164" s="2630"/>
      <c r="J164" s="2630"/>
      <c r="K164" s="2630"/>
      <c r="L164" s="2630"/>
      <c r="M164" s="2630"/>
      <c r="N164" s="2630"/>
      <c r="O164" s="2630"/>
      <c r="P164" s="2630"/>
      <c r="Q164" s="2624"/>
      <c r="Z164" s="1773">
        <v>164</v>
      </c>
    </row>
    <row r="165" spans="1:26" ht="13.35" customHeight="1">
      <c r="B165" s="291" t="s">
        <v>719</v>
      </c>
      <c r="C165" s="291" t="s">
        <v>4063</v>
      </c>
      <c r="Z165" s="1773">
        <v>165</v>
      </c>
    </row>
    <row r="166" spans="1:26" s="289" customFormat="1" ht="12.75" customHeight="1">
      <c r="A166" s="3402" t="s">
        <v>610</v>
      </c>
      <c r="B166" s="3403"/>
      <c r="C166" s="3403"/>
      <c r="D166" s="3403"/>
      <c r="E166" s="3407" t="s">
        <v>3184</v>
      </c>
      <c r="F166" s="3408"/>
      <c r="G166" s="3408"/>
      <c r="H166" s="3408"/>
      <c r="I166" s="3409"/>
      <c r="J166" s="3413" t="s">
        <v>3185</v>
      </c>
      <c r="K166" s="3416" t="s">
        <v>2695</v>
      </c>
      <c r="L166" s="3416" t="s">
        <v>2696</v>
      </c>
      <c r="M166" s="3419" t="s">
        <v>6797</v>
      </c>
      <c r="N166" s="3420"/>
      <c r="O166" s="3420"/>
      <c r="P166" s="3420"/>
      <c r="Q166" s="3420"/>
      <c r="R166" s="3420"/>
      <c r="S166" s="3421"/>
      <c r="Z166" s="1773">
        <v>166</v>
      </c>
    </row>
    <row r="167" spans="1:26" s="289" customFormat="1" ht="12.75" customHeight="1">
      <c r="A167" s="3404"/>
      <c r="B167" s="3167"/>
      <c r="C167" s="3167"/>
      <c r="D167" s="3167"/>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7"/>
      <c r="C168" s="3167"/>
      <c r="D168" s="3167"/>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7"/>
      <c r="C169" s="3167"/>
      <c r="D169" s="3167"/>
      <c r="E169" s="3425" t="s">
        <v>3348</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2392</v>
      </c>
      <c r="J170" s="3415"/>
      <c r="K170" s="3418"/>
      <c r="L170" s="3417"/>
      <c r="M170" s="1301" t="s">
        <v>2392</v>
      </c>
      <c r="N170" s="3338" t="s">
        <v>2694</v>
      </c>
      <c r="O170" s="3338"/>
      <c r="P170" s="3338"/>
      <c r="Q170" s="3338"/>
      <c r="R170" s="3338"/>
      <c r="S170" s="3431"/>
      <c r="Z170" s="1773">
        <v>170</v>
      </c>
    </row>
    <row r="171" spans="1:26" s="289" customFormat="1" ht="30" customHeight="1">
      <c r="A171" s="3388" t="s">
        <v>3179</v>
      </c>
      <c r="B171" s="3389"/>
      <c r="C171" s="3389"/>
      <c r="D171" s="3390"/>
      <c r="E171" s="3391"/>
      <c r="F171" s="3392"/>
      <c r="G171" s="3392"/>
      <c r="H171" s="3392"/>
      <c r="I171" s="2765" t="s">
        <v>2772</v>
      </c>
      <c r="J171" s="2766" t="s">
        <v>2772</v>
      </c>
      <c r="K171" s="2767" t="s">
        <v>6878</v>
      </c>
      <c r="L171" s="2768">
        <v>1E-4</v>
      </c>
      <c r="M171" s="2769" t="s">
        <v>2769</v>
      </c>
      <c r="N171" s="3393" t="s">
        <v>7015</v>
      </c>
      <c r="O171" s="3392"/>
      <c r="P171" s="3392"/>
      <c r="Q171" s="3392"/>
      <c r="R171" s="3392"/>
      <c r="S171" s="3394"/>
      <c r="Z171" s="1773">
        <v>171</v>
      </c>
    </row>
    <row r="172" spans="1:26" s="289" customFormat="1" ht="23.25" customHeight="1">
      <c r="A172" s="3395" t="s">
        <v>3180</v>
      </c>
      <c r="B172" s="3396"/>
      <c r="C172" s="3396"/>
      <c r="D172" s="3397"/>
      <c r="E172" s="3398"/>
      <c r="F172" s="3399"/>
      <c r="G172" s="3399"/>
      <c r="H172" s="3399"/>
      <c r="I172" s="2770" t="s">
        <v>2772</v>
      </c>
      <c r="J172" s="2771" t="s">
        <v>2772</v>
      </c>
      <c r="K172" s="2772" t="s">
        <v>6878</v>
      </c>
      <c r="L172" s="2773">
        <v>0</v>
      </c>
      <c r="M172" s="2774" t="s">
        <v>2769</v>
      </c>
      <c r="N172" s="3400" t="s">
        <v>6991</v>
      </c>
      <c r="O172" s="3399"/>
      <c r="P172" s="3399"/>
      <c r="Q172" s="3399"/>
      <c r="R172" s="3399"/>
      <c r="S172" s="3401"/>
      <c r="U172" s="3452" t="s">
        <v>1940</v>
      </c>
      <c r="V172" s="3452"/>
      <c r="Z172" s="1773">
        <v>172</v>
      </c>
    </row>
    <row r="173" spans="1:26" s="289" customFormat="1" ht="23.25" customHeight="1">
      <c r="A173" s="3395" t="s">
        <v>3181</v>
      </c>
      <c r="B173" s="3396"/>
      <c r="C173" s="3396"/>
      <c r="D173" s="3397"/>
      <c r="E173" s="3398"/>
      <c r="F173" s="3399"/>
      <c r="G173" s="3399"/>
      <c r="H173" s="3399"/>
      <c r="I173" s="2770" t="s">
        <v>2772</v>
      </c>
      <c r="J173" s="2771" t="s">
        <v>2772</v>
      </c>
      <c r="K173" s="2772" t="s">
        <v>6878</v>
      </c>
      <c r="L173" s="2773">
        <v>0</v>
      </c>
      <c r="M173" s="2774" t="s">
        <v>2769</v>
      </c>
      <c r="N173" s="3400" t="s">
        <v>6992</v>
      </c>
      <c r="O173" s="3399"/>
      <c r="P173" s="3399"/>
      <c r="Q173" s="3399"/>
      <c r="R173" s="3399"/>
      <c r="S173" s="3401"/>
      <c r="U173" s="3452"/>
      <c r="V173" s="3452"/>
      <c r="Z173" s="1773">
        <v>173</v>
      </c>
    </row>
    <row r="174" spans="1:26" s="289" customFormat="1" ht="23.25" customHeight="1">
      <c r="A174" s="3395" t="s">
        <v>3182</v>
      </c>
      <c r="B174" s="3396"/>
      <c r="C174" s="3396"/>
      <c r="D174" s="3397"/>
      <c r="E174" s="3398"/>
      <c r="F174" s="3399"/>
      <c r="G174" s="3399"/>
      <c r="H174" s="3399"/>
      <c r="I174" s="2770" t="s">
        <v>2772</v>
      </c>
      <c r="J174" s="2771" t="s">
        <v>2772</v>
      </c>
      <c r="K174" s="2772" t="s">
        <v>6878</v>
      </c>
      <c r="L174" s="2773">
        <v>0.9899</v>
      </c>
      <c r="M174" s="2774" t="s">
        <v>2772</v>
      </c>
      <c r="N174" s="3400"/>
      <c r="O174" s="3399"/>
      <c r="P174" s="3399"/>
      <c r="Q174" s="3399"/>
      <c r="R174" s="3399"/>
      <c r="S174" s="3401"/>
      <c r="U174" s="3452"/>
      <c r="V174" s="3452"/>
      <c r="Z174" s="1773">
        <v>174</v>
      </c>
    </row>
    <row r="175" spans="1:26" s="289" customFormat="1" ht="23.25" customHeight="1">
      <c r="A175" s="3395" t="s">
        <v>3183</v>
      </c>
      <c r="B175" s="3396"/>
      <c r="C175" s="3396"/>
      <c r="D175" s="3397"/>
      <c r="E175" s="3398"/>
      <c r="F175" s="3399"/>
      <c r="G175" s="3399"/>
      <c r="H175" s="3399"/>
      <c r="I175" s="2770" t="s">
        <v>2772</v>
      </c>
      <c r="J175" s="2771" t="s">
        <v>2772</v>
      </c>
      <c r="K175" s="2772" t="s">
        <v>6878</v>
      </c>
      <c r="L175" s="2773">
        <v>0.01</v>
      </c>
      <c r="M175" s="2774" t="s">
        <v>2772</v>
      </c>
      <c r="N175" s="3400"/>
      <c r="O175" s="3399"/>
      <c r="P175" s="3399"/>
      <c r="Q175" s="3399"/>
      <c r="R175" s="3399"/>
      <c r="S175" s="3401"/>
      <c r="U175" s="3452"/>
      <c r="V175" s="3452"/>
      <c r="Z175" s="1773">
        <v>175</v>
      </c>
    </row>
    <row r="176" spans="1:26" s="289" customFormat="1" ht="23.25" customHeight="1">
      <c r="A176" s="3395" t="s">
        <v>2684</v>
      </c>
      <c r="B176" s="3396"/>
      <c r="C176" s="3396"/>
      <c r="D176" s="3397"/>
      <c r="E176" s="3398"/>
      <c r="F176" s="3399"/>
      <c r="G176" s="3399"/>
      <c r="H176" s="3399"/>
      <c r="I176" s="2770" t="s">
        <v>4015</v>
      </c>
      <c r="J176" s="2771" t="s">
        <v>4015</v>
      </c>
      <c r="K176" s="2772"/>
      <c r="L176" s="2773"/>
      <c r="M176" s="2774" t="s">
        <v>4015</v>
      </c>
      <c r="N176" s="3400"/>
      <c r="O176" s="3399"/>
      <c r="P176" s="3399"/>
      <c r="Q176" s="3399"/>
      <c r="R176" s="3399"/>
      <c r="S176" s="3401"/>
      <c r="U176" s="3452"/>
      <c r="V176" s="3452"/>
      <c r="Z176" s="1773">
        <v>176</v>
      </c>
    </row>
    <row r="177" spans="1:26" s="289" customFormat="1" ht="23.25" customHeight="1">
      <c r="A177" s="3395" t="s">
        <v>623</v>
      </c>
      <c r="B177" s="3396"/>
      <c r="C177" s="3396"/>
      <c r="D177" s="3397"/>
      <c r="E177" s="3398"/>
      <c r="F177" s="3399"/>
      <c r="G177" s="3399"/>
      <c r="H177" s="3399"/>
      <c r="I177" s="2770" t="s">
        <v>2772</v>
      </c>
      <c r="J177" s="2771" t="s">
        <v>2772</v>
      </c>
      <c r="K177" s="2772" t="s">
        <v>6878</v>
      </c>
      <c r="L177" s="2773"/>
      <c r="M177" s="2774" t="s">
        <v>2769</v>
      </c>
      <c r="N177" s="3400" t="s">
        <v>6990</v>
      </c>
      <c r="O177" s="3399"/>
      <c r="P177" s="3399"/>
      <c r="Q177" s="3399"/>
      <c r="R177" s="3399"/>
      <c r="S177" s="3401"/>
      <c r="U177" s="3452"/>
      <c r="V177" s="3452"/>
      <c r="Z177" s="1773">
        <v>177</v>
      </c>
    </row>
    <row r="178" spans="1:26" s="289" customFormat="1" ht="23.25" customHeight="1">
      <c r="A178" s="3395" t="s">
        <v>2685</v>
      </c>
      <c r="B178" s="3396"/>
      <c r="C178" s="3396"/>
      <c r="D178" s="3397"/>
      <c r="E178" s="3398"/>
      <c r="F178" s="3399"/>
      <c r="G178" s="3399"/>
      <c r="H178" s="3399"/>
      <c r="I178" s="2770" t="s">
        <v>2772</v>
      </c>
      <c r="J178" s="2771" t="s">
        <v>2772</v>
      </c>
      <c r="K178" s="2772" t="s">
        <v>6878</v>
      </c>
      <c r="L178" s="2773"/>
      <c r="M178" s="2774" t="s">
        <v>2769</v>
      </c>
      <c r="N178" s="3400" t="s">
        <v>7016</v>
      </c>
      <c r="O178" s="3399"/>
      <c r="P178" s="3399"/>
      <c r="Q178" s="3399"/>
      <c r="R178" s="3399"/>
      <c r="S178" s="3401"/>
      <c r="Z178" s="1773">
        <v>178</v>
      </c>
    </row>
    <row r="179" spans="1:26" s="289" customFormat="1" ht="23.25" customHeight="1">
      <c r="A179" s="3395" t="s">
        <v>2686</v>
      </c>
      <c r="B179" s="3396"/>
      <c r="C179" s="3396"/>
      <c r="D179" s="3397"/>
      <c r="E179" s="3398"/>
      <c r="F179" s="3399"/>
      <c r="G179" s="3399"/>
      <c r="H179" s="3399"/>
      <c r="I179" s="2770" t="s">
        <v>4015</v>
      </c>
      <c r="J179" s="2771" t="s">
        <v>4015</v>
      </c>
      <c r="K179" s="2772"/>
      <c r="L179" s="2773"/>
      <c r="M179" s="2774" t="s">
        <v>4015</v>
      </c>
      <c r="N179" s="3400"/>
      <c r="O179" s="3399"/>
      <c r="P179" s="3399"/>
      <c r="Q179" s="3399"/>
      <c r="R179" s="3399"/>
      <c r="S179" s="3401"/>
      <c r="Z179" s="1773">
        <v>179</v>
      </c>
    </row>
    <row r="180" spans="1:26" s="289" customFormat="1" ht="23.25" customHeight="1">
      <c r="A180" s="3395" t="s">
        <v>2688</v>
      </c>
      <c r="B180" s="3396"/>
      <c r="C180" s="3396"/>
      <c r="D180" s="3397"/>
      <c r="E180" s="3398"/>
      <c r="F180" s="3399"/>
      <c r="G180" s="3399"/>
      <c r="H180" s="3399"/>
      <c r="I180" s="2770" t="s">
        <v>4015</v>
      </c>
      <c r="J180" s="2771" t="s">
        <v>4015</v>
      </c>
      <c r="K180" s="2772"/>
      <c r="L180" s="2773"/>
      <c r="M180" s="2774" t="s">
        <v>4015</v>
      </c>
      <c r="N180" s="3400"/>
      <c r="O180" s="3399"/>
      <c r="P180" s="3399"/>
      <c r="Q180" s="3399"/>
      <c r="R180" s="3399"/>
      <c r="S180" s="3401"/>
      <c r="Z180" s="1773">
        <v>180</v>
      </c>
    </row>
    <row r="181" spans="1:26" s="289" customFormat="1" ht="23.25" customHeight="1">
      <c r="A181" s="3395" t="s">
        <v>2687</v>
      </c>
      <c r="B181" s="3396"/>
      <c r="C181" s="3396"/>
      <c r="D181" s="3397"/>
      <c r="E181" s="3398"/>
      <c r="F181" s="3399"/>
      <c r="G181" s="3399"/>
      <c r="H181" s="3399"/>
      <c r="I181" s="2770" t="s">
        <v>4015</v>
      </c>
      <c r="J181" s="2771" t="s">
        <v>4015</v>
      </c>
      <c r="K181" s="2772"/>
      <c r="L181" s="2773"/>
      <c r="M181" s="2774" t="s">
        <v>4015</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70" t="s">
        <v>2772</v>
      </c>
      <c r="J182" s="2771" t="s">
        <v>2772</v>
      </c>
      <c r="K182" s="2772" t="s">
        <v>6878</v>
      </c>
      <c r="L182" s="2773"/>
      <c r="M182" s="2774" t="s">
        <v>2769</v>
      </c>
      <c r="N182" s="3400" t="s">
        <v>7017</v>
      </c>
      <c r="O182" s="3399"/>
      <c r="P182" s="3399"/>
      <c r="Q182" s="3399"/>
      <c r="R182" s="3399"/>
      <c r="S182" s="3401"/>
      <c r="Z182" s="1773">
        <v>182</v>
      </c>
    </row>
    <row r="183" spans="1:26" s="289" customFormat="1" ht="23.25" customHeight="1">
      <c r="A183" s="3432" t="s">
        <v>2689</v>
      </c>
      <c r="B183" s="3433"/>
      <c r="C183" s="3433"/>
      <c r="D183" s="3434"/>
      <c r="E183" s="3435"/>
      <c r="F183" s="3436"/>
      <c r="G183" s="3436"/>
      <c r="H183" s="3436"/>
      <c r="I183" s="2775" t="s">
        <v>2772</v>
      </c>
      <c r="J183" s="2776" t="s">
        <v>2772</v>
      </c>
      <c r="K183" s="2777" t="s">
        <v>6878</v>
      </c>
      <c r="L183" s="2778"/>
      <c r="M183" s="2779" t="s">
        <v>2772</v>
      </c>
      <c r="N183" s="3437"/>
      <c r="O183" s="3436"/>
      <c r="P183" s="3436"/>
      <c r="Q183" s="3436"/>
      <c r="R183" s="3436"/>
      <c r="S183" s="3438"/>
      <c r="Z183" s="1773">
        <v>183</v>
      </c>
    </row>
    <row r="184" spans="1:26" s="2629" customFormat="1" ht="12" customHeight="1">
      <c r="G184" s="299"/>
      <c r="H184" s="299"/>
      <c r="I184" s="299"/>
      <c r="J184" s="2630"/>
      <c r="K184" s="314" t="s">
        <v>513</v>
      </c>
      <c r="L184" s="496">
        <f>SUM(L171:L183)</f>
        <v>1</v>
      </c>
      <c r="M184" s="2630"/>
      <c r="P184" s="297"/>
      <c r="Z184" s="1773">
        <v>184</v>
      </c>
    </row>
    <row r="185" spans="1:26" ht="11.25" customHeight="1">
      <c r="A185" s="315" t="s">
        <v>505</v>
      </c>
      <c r="B185" s="325"/>
      <c r="C185" s="315" t="s">
        <v>543</v>
      </c>
      <c r="N185" s="315" t="s">
        <v>505</v>
      </c>
      <c r="O185" s="315" t="s">
        <v>74</v>
      </c>
      <c r="Z185" s="1773">
        <v>185</v>
      </c>
    </row>
    <row r="186" spans="1:26" ht="105.75" customHeight="1">
      <c r="A186" s="3439" t="s">
        <v>7018</v>
      </c>
      <c r="B186" s="3440"/>
      <c r="C186" s="3440"/>
      <c r="D186" s="3440"/>
      <c r="E186" s="3440"/>
      <c r="F186" s="3440"/>
      <c r="G186" s="3440"/>
      <c r="H186" s="3440"/>
      <c r="I186" s="3440"/>
      <c r="J186" s="3440"/>
      <c r="K186" s="3440"/>
      <c r="L186" s="3440"/>
      <c r="M186" s="3441"/>
      <c r="N186" s="3442"/>
      <c r="O186" s="3443"/>
      <c r="P186" s="3443"/>
      <c r="Q186" s="3443"/>
      <c r="R186" s="3443"/>
      <c r="S186" s="3444"/>
      <c r="T186" s="3133" t="s">
        <v>2542</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80"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1"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1"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1"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1"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1"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1"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1"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1" t="s">
        <v>812</v>
      </c>
      <c r="Z199" s="1773"/>
    </row>
    <row r="200" spans="1:26" ht="12" customHeight="1">
      <c r="P200" s="2781" t="s">
        <v>813</v>
      </c>
    </row>
    <row r="201" spans="1:26" ht="12" customHeight="1">
      <c r="A201" s="315"/>
      <c r="P201" s="2781" t="s">
        <v>814</v>
      </c>
    </row>
    <row r="202" spans="1:26" ht="12" customHeight="1">
      <c r="P202" s="2781" t="s">
        <v>815</v>
      </c>
    </row>
    <row r="203" spans="1:26" ht="12" customHeight="1">
      <c r="P203" s="2781" t="s">
        <v>816</v>
      </c>
    </row>
    <row r="204" spans="1:26" ht="12" customHeight="1">
      <c r="P204" s="2781" t="s">
        <v>817</v>
      </c>
    </row>
    <row r="205" spans="1:26" ht="12" customHeight="1">
      <c r="P205" s="2781" t="s">
        <v>818</v>
      </c>
    </row>
    <row r="206" spans="1:26" ht="12" customHeight="1">
      <c r="P206" s="2781" t="s">
        <v>819</v>
      </c>
    </row>
    <row r="207" spans="1:26" ht="12" customHeight="1">
      <c r="P207" s="2781" t="s">
        <v>820</v>
      </c>
    </row>
    <row r="208" spans="1:26" ht="12" customHeight="1">
      <c r="P208" s="2781" t="s">
        <v>821</v>
      </c>
    </row>
    <row r="209" spans="16:16" ht="12" customHeight="1">
      <c r="P209" s="2781" t="s">
        <v>822</v>
      </c>
    </row>
    <row r="210" spans="16:16" ht="12" customHeight="1">
      <c r="P210" s="2781" t="s">
        <v>823</v>
      </c>
    </row>
    <row r="211" spans="16:16" ht="12" customHeight="1">
      <c r="P211" s="2781" t="s">
        <v>824</v>
      </c>
    </row>
    <row r="212" spans="16:16" ht="12" customHeight="1">
      <c r="P212" s="2781" t="s">
        <v>825</v>
      </c>
    </row>
    <row r="213" spans="16:16" ht="12" customHeight="1">
      <c r="P213" s="2781" t="s">
        <v>826</v>
      </c>
    </row>
    <row r="214" spans="16:16" ht="12" customHeight="1">
      <c r="P214" s="2781" t="s">
        <v>827</v>
      </c>
    </row>
    <row r="215" spans="16:16" ht="12" customHeight="1">
      <c r="P215" s="2781" t="s">
        <v>828</v>
      </c>
    </row>
    <row r="216" spans="16:16" ht="12" customHeight="1">
      <c r="P216" s="2781" t="s">
        <v>829</v>
      </c>
    </row>
    <row r="217" spans="16:16" ht="12" customHeight="1">
      <c r="P217" s="2781" t="s">
        <v>1292</v>
      </c>
    </row>
    <row r="218" spans="16:16" ht="12" customHeight="1">
      <c r="P218" s="2781" t="s">
        <v>1293</v>
      </c>
    </row>
    <row r="219" spans="16:16" ht="12" customHeight="1">
      <c r="P219" s="2781" t="s">
        <v>1294</v>
      </c>
    </row>
    <row r="220" spans="16:16" ht="12" customHeight="1">
      <c r="P220" s="2781" t="s">
        <v>1295</v>
      </c>
    </row>
    <row r="221" spans="16:16" ht="12" customHeight="1">
      <c r="P221" s="2781" t="s">
        <v>1296</v>
      </c>
    </row>
    <row r="222" spans="16:16" ht="13.5">
      <c r="P222" s="2781" t="s">
        <v>1297</v>
      </c>
    </row>
    <row r="223" spans="16:16" ht="12" customHeight="1">
      <c r="P223" s="2781" t="s">
        <v>1298</v>
      </c>
    </row>
    <row r="224" spans="16:16" ht="12" customHeight="1">
      <c r="P224" s="2781" t="s">
        <v>1299</v>
      </c>
    </row>
    <row r="225" spans="16:16" ht="12" customHeight="1">
      <c r="P225" s="2781" t="s">
        <v>1300</v>
      </c>
    </row>
    <row r="226" spans="16:16" ht="12" customHeight="1">
      <c r="P226" s="2781" t="s">
        <v>1301</v>
      </c>
    </row>
    <row r="227" spans="16:16" ht="12" customHeight="1">
      <c r="P227" s="2781" t="s">
        <v>1302</v>
      </c>
    </row>
    <row r="228" spans="16:16" ht="12" customHeight="1">
      <c r="P228" s="2781" t="s">
        <v>1303</v>
      </c>
    </row>
    <row r="229" spans="16:16" ht="12" customHeight="1">
      <c r="P229" s="2781" t="s">
        <v>1304</v>
      </c>
    </row>
    <row r="230" spans="16:16" ht="12" customHeight="1">
      <c r="P230" s="2781" t="s">
        <v>1305</v>
      </c>
    </row>
    <row r="231" spans="16:16" ht="12" customHeight="1">
      <c r="P231" s="2781" t="s">
        <v>1306</v>
      </c>
    </row>
    <row r="232" spans="16:16" ht="12" customHeight="1">
      <c r="P232" s="2781" t="s">
        <v>1307</v>
      </c>
    </row>
    <row r="233" spans="16:16" ht="12" customHeight="1">
      <c r="P233" s="2781" t="s">
        <v>1308</v>
      </c>
    </row>
    <row r="234" spans="16:16" ht="12" customHeight="1">
      <c r="P234" s="2781" t="s">
        <v>1309</v>
      </c>
    </row>
    <row r="235" spans="16:16" ht="12" customHeight="1">
      <c r="P235" s="2781" t="s">
        <v>1310</v>
      </c>
    </row>
    <row r="236" spans="16:16" ht="12" customHeight="1">
      <c r="P236" s="2781" t="s">
        <v>1311</v>
      </c>
    </row>
    <row r="237" spans="16:16" ht="12" customHeight="1">
      <c r="P237" s="2781" t="s">
        <v>1312</v>
      </c>
    </row>
    <row r="238" spans="16:16" ht="12" customHeight="1">
      <c r="P238" s="2781" t="s">
        <v>1313</v>
      </c>
    </row>
    <row r="239" spans="16:16" ht="12" customHeight="1">
      <c r="P239" s="2781" t="s">
        <v>1314</v>
      </c>
    </row>
    <row r="240" spans="16:16" ht="12" customHeight="1">
      <c r="P240" s="2781" t="s">
        <v>1315</v>
      </c>
    </row>
    <row r="241" spans="16:16" ht="12" customHeight="1">
      <c r="P241" s="2781" t="s">
        <v>1316</v>
      </c>
    </row>
    <row r="242" spans="16:16" ht="12" customHeight="1">
      <c r="P242" s="2781" t="s">
        <v>1317</v>
      </c>
    </row>
  </sheetData>
  <sheetProtection algorithmName="SHA-512" hashValue="BSMUHmWD87VXbVvVrgpTAh+00YkdfpJo/8us34ThznyBxuFwE14+y86V5bTzwBt+QOZxA1R6mykgXkDFO+XnSw==" saltValue="PWFtqtxOcK9BHJPFU3xy9g=="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0" zoomScaleNormal="100" workbookViewId="0">
      <selection activeCell="A20"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7"/>
    <col min="53" max="16384" width="9.140625" style="331"/>
  </cols>
  <sheetData>
    <row r="1" spans="1:52" s="1806" customFormat="1" ht="12" hidden="1" customHeight="1">
      <c r="A1" s="1809"/>
      <c r="B1" s="1809" t="s">
        <v>6619</v>
      </c>
      <c r="C1" s="1809"/>
      <c r="D1" s="1809"/>
      <c r="E1" s="1809" t="s">
        <v>6638</v>
      </c>
      <c r="F1" s="1809"/>
      <c r="G1" s="2782"/>
      <c r="H1" s="2782" t="s">
        <v>6639</v>
      </c>
      <c r="I1" s="2782" t="s">
        <v>6640</v>
      </c>
      <c r="J1" s="2782"/>
      <c r="K1" s="2782" t="s">
        <v>6641</v>
      </c>
      <c r="L1" s="2782" t="s">
        <v>6642</v>
      </c>
      <c r="M1" s="1806" t="s">
        <v>6643</v>
      </c>
      <c r="N1" s="1806" t="s">
        <v>6644</v>
      </c>
      <c r="P1" s="1806" t="s">
        <v>6645</v>
      </c>
      <c r="Z1" s="1773">
        <v>1</v>
      </c>
    </row>
    <row r="2" spans="1:52" s="265" customFormat="1" ht="14.1" customHeight="1">
      <c r="A2" s="3453" t="str">
        <f>CONCATENATE("PART THREE - SOURCES OF FUNDS (Proposed)","  -  ",'Part I-Project Information'!$O$7," ",'Part I-Project Information'!$F$35,", ",'Part I-Project Information'!$F$39,", ",'Part I-Project Information'!$J$40," County")</f>
        <v>PART THREE - SOURCES OF FUNDS (Proposed)  -  2021-041 Hunters Haven, Flemington, Liberty County</v>
      </c>
      <c r="B2" s="3454"/>
      <c r="C2" s="3454"/>
      <c r="D2" s="3454"/>
      <c r="E2" s="3454"/>
      <c r="F2" s="3454"/>
      <c r="G2" s="3454"/>
      <c r="H2" s="3454"/>
      <c r="I2" s="3454"/>
      <c r="J2" s="3454"/>
      <c r="K2" s="3454"/>
      <c r="L2" s="3454"/>
      <c r="M2" s="3454"/>
      <c r="N2" s="3454"/>
      <c r="O2" s="3454"/>
      <c r="P2" s="3454"/>
      <c r="Q2" s="3455"/>
      <c r="S2" s="3570" t="str">
        <f>$A$2</f>
        <v>PART THREE - SOURCES OF FUNDS (Proposed)  -  2021-041 Hunters Haven, Flemington, Liberty County</v>
      </c>
      <c r="T2" s="3570"/>
      <c r="Y2" s="1807"/>
      <c r="Z2" s="1773">
        <v>2</v>
      </c>
      <c r="AZ2" s="2783"/>
    </row>
    <row r="3" spans="1:52" ht="17.45" customHeight="1">
      <c r="A3" s="307"/>
      <c r="B3" s="307"/>
      <c r="C3" s="307"/>
      <c r="D3" s="307"/>
      <c r="E3" s="307"/>
      <c r="F3" s="307"/>
      <c r="G3" s="1068"/>
      <c r="H3" s="1068"/>
      <c r="I3" s="1068"/>
      <c r="J3" s="1068"/>
      <c r="K3" s="1068"/>
      <c r="L3" s="1068"/>
      <c r="Y3" s="1807"/>
      <c r="Z3" s="1773">
        <v>3</v>
      </c>
      <c r="AZ3" s="2783"/>
    </row>
    <row r="4" spans="1:52" s="265" customFormat="1" ht="13.35" customHeight="1">
      <c r="A4" s="291" t="s">
        <v>586</v>
      </c>
      <c r="B4" s="299" t="s">
        <v>2378</v>
      </c>
      <c r="C4" s="289"/>
      <c r="D4" s="2629"/>
      <c r="E4" s="2629"/>
      <c r="F4" s="2629"/>
      <c r="G4" s="2629"/>
      <c r="L4" s="3582" t="str">
        <f>'Part I-Project Information'!$B$7</f>
        <v>2021 Core Application</v>
      </c>
      <c r="M4" s="3583"/>
      <c r="N4" s="3583"/>
      <c r="O4" s="3583"/>
      <c r="P4" s="3584"/>
      <c r="S4" s="332" t="str">
        <f>B4</f>
        <v>GOVERNMENT FUNDING SOURCES  (check all that apply)</v>
      </c>
      <c r="Y4" s="1807"/>
      <c r="Z4" s="1773">
        <v>4</v>
      </c>
      <c r="AZ4" s="2783"/>
    </row>
    <row r="5" spans="1:52" s="265" customFormat="1" ht="15.75" customHeight="1">
      <c r="A5" s="315"/>
      <c r="B5" s="1711"/>
      <c r="C5" s="310"/>
      <c r="D5" s="2629"/>
      <c r="E5" s="2629"/>
      <c r="F5" s="2629"/>
      <c r="G5" s="2629"/>
      <c r="S5" s="3529" t="s">
        <v>2537</v>
      </c>
      <c r="T5" s="3529"/>
      <c r="Y5" s="1807"/>
      <c r="Z5" s="1773">
        <v>5</v>
      </c>
      <c r="AZ5" s="2783"/>
    </row>
    <row r="6" spans="1:52" s="265" customFormat="1" ht="16.5" customHeight="1">
      <c r="A6" s="1711"/>
      <c r="B6" s="2693" t="s">
        <v>2769</v>
      </c>
      <c r="C6" s="266" t="s">
        <v>2300</v>
      </c>
      <c r="D6" s="289"/>
      <c r="E6" s="2693" t="s">
        <v>2772</v>
      </c>
      <c r="F6" s="266" t="s">
        <v>6290</v>
      </c>
      <c r="G6" s="289"/>
      <c r="I6" s="3574"/>
      <c r="J6" s="3575"/>
      <c r="L6" s="2693" t="s">
        <v>2772</v>
      </c>
      <c r="M6" s="266" t="s">
        <v>1475</v>
      </c>
      <c r="Q6" s="1692"/>
      <c r="S6" s="3518"/>
      <c r="T6" s="3519"/>
      <c r="Y6" s="1807"/>
      <c r="Z6" s="1773">
        <v>6</v>
      </c>
      <c r="AZ6" s="2783"/>
    </row>
    <row r="7" spans="1:52" s="265" customFormat="1" ht="16.5" customHeight="1">
      <c r="A7" s="1711"/>
      <c r="B7" s="2681" t="s">
        <v>2772</v>
      </c>
      <c r="C7" s="266" t="s">
        <v>4058</v>
      </c>
      <c r="D7" s="289"/>
      <c r="E7" s="2694" t="s">
        <v>2772</v>
      </c>
      <c r="F7" s="266" t="s">
        <v>6291</v>
      </c>
      <c r="I7" s="3576"/>
      <c r="J7" s="3577"/>
      <c r="L7" s="2681" t="s">
        <v>2772</v>
      </c>
      <c r="M7" s="266" t="s">
        <v>523</v>
      </c>
      <c r="P7" s="1692"/>
      <c r="Q7" s="1692"/>
      <c r="S7" s="3479"/>
      <c r="T7" s="3480"/>
      <c r="Y7" s="1807"/>
      <c r="Z7" s="1773">
        <v>7</v>
      </c>
      <c r="AZ7" s="2783"/>
    </row>
    <row r="8" spans="1:52" s="265" customFormat="1" ht="16.5" customHeight="1">
      <c r="A8" s="289"/>
      <c r="B8" s="2681" t="s">
        <v>2772</v>
      </c>
      <c r="C8" s="266" t="s">
        <v>524</v>
      </c>
      <c r="F8" s="265" t="s">
        <v>6292</v>
      </c>
      <c r="H8" s="3571" t="s">
        <v>3186</v>
      </c>
      <c r="I8" s="3572"/>
      <c r="J8" s="3573"/>
      <c r="L8" s="2681" t="s">
        <v>2772</v>
      </c>
      <c r="M8" s="284" t="s">
        <v>3275</v>
      </c>
      <c r="P8" s="1692"/>
      <c r="Q8" s="1692"/>
      <c r="S8" s="3479"/>
      <c r="T8" s="3480"/>
      <c r="Y8" s="1807"/>
      <c r="Z8" s="1773">
        <v>8</v>
      </c>
      <c r="AZ8" s="2783"/>
    </row>
    <row r="9" spans="1:52" s="265" customFormat="1" ht="16.5" customHeight="1">
      <c r="A9" s="1711"/>
      <c r="B9" s="2681" t="s">
        <v>2772</v>
      </c>
      <c r="C9" s="265" t="s">
        <v>3440</v>
      </c>
      <c r="E9" s="2784" t="s">
        <v>2772</v>
      </c>
      <c r="F9" s="3578" t="s">
        <v>3923</v>
      </c>
      <c r="G9" s="3172"/>
      <c r="H9" s="3172"/>
      <c r="I9" s="3172"/>
      <c r="J9" s="3173"/>
      <c r="L9" s="2681" t="s">
        <v>2772</v>
      </c>
      <c r="M9" s="284" t="s">
        <v>4059</v>
      </c>
      <c r="Q9" s="1692"/>
      <c r="S9" s="3481"/>
      <c r="T9" s="3482"/>
      <c r="Y9" s="1807"/>
      <c r="Z9" s="1773">
        <v>9</v>
      </c>
      <c r="AZ9" s="2783"/>
    </row>
    <row r="10" spans="1:52" s="265" customFormat="1" ht="16.5" customHeight="1">
      <c r="A10" s="1711"/>
      <c r="B10" s="2681" t="s">
        <v>2772</v>
      </c>
      <c r="C10" s="266" t="s">
        <v>2481</v>
      </c>
      <c r="F10" s="3579" t="s">
        <v>3925</v>
      </c>
      <c r="G10" s="3580"/>
      <c r="H10" s="3580"/>
      <c r="I10" s="3580"/>
      <c r="J10" s="3581"/>
      <c r="L10" s="2681" t="s">
        <v>2772</v>
      </c>
      <c r="M10" s="266" t="s">
        <v>3318</v>
      </c>
      <c r="P10" s="1692"/>
      <c r="Q10" s="1692"/>
      <c r="S10" s="3518"/>
      <c r="T10" s="3519"/>
      <c r="Y10" s="1807"/>
      <c r="Z10" s="1773">
        <v>10</v>
      </c>
      <c r="AZ10" s="2783"/>
    </row>
    <row r="11" spans="1:52" s="265" customFormat="1" ht="16.5" customHeight="1">
      <c r="A11" s="1711"/>
      <c r="B11" s="2681" t="s">
        <v>2772</v>
      </c>
      <c r="C11" s="266" t="s">
        <v>2482</v>
      </c>
      <c r="E11" s="2784" t="s">
        <v>2772</v>
      </c>
      <c r="F11" s="3578" t="s">
        <v>3924</v>
      </c>
      <c r="G11" s="3172"/>
      <c r="H11" s="3172"/>
      <c r="I11" s="3172"/>
      <c r="J11" s="3173"/>
      <c r="L11" s="2681" t="s">
        <v>2772</v>
      </c>
      <c r="M11" s="265" t="s">
        <v>2486</v>
      </c>
      <c r="S11" s="3479"/>
      <c r="T11" s="3480"/>
      <c r="Y11" s="1807"/>
      <c r="Z11" s="1773">
        <v>11</v>
      </c>
      <c r="AZ11" s="2783"/>
    </row>
    <row r="12" spans="1:52" s="265" customFormat="1" ht="16.5" customHeight="1">
      <c r="A12" s="1711"/>
      <c r="B12" s="2681" t="s">
        <v>2772</v>
      </c>
      <c r="C12" s="284" t="s">
        <v>3321</v>
      </c>
      <c r="F12" s="3579" t="s">
        <v>3926</v>
      </c>
      <c r="G12" s="3580"/>
      <c r="H12" s="3580"/>
      <c r="I12" s="3580"/>
      <c r="J12" s="3581"/>
      <c r="L12" s="2681" t="s">
        <v>2772</v>
      </c>
      <c r="M12" s="265" t="s">
        <v>3351</v>
      </c>
      <c r="S12" s="3479"/>
      <c r="T12" s="3480"/>
      <c r="Y12" s="1807"/>
      <c r="Z12" s="1773">
        <v>12</v>
      </c>
      <c r="AZ12" s="2783"/>
    </row>
    <row r="13" spans="1:52" s="265" customFormat="1" ht="16.5" customHeight="1">
      <c r="A13" s="1711"/>
      <c r="B13" s="2681" t="s">
        <v>2772</v>
      </c>
      <c r="C13" s="284" t="s">
        <v>2485</v>
      </c>
      <c r="E13" s="2693" t="s">
        <v>2772</v>
      </c>
      <c r="F13" s="284" t="s">
        <v>3350</v>
      </c>
      <c r="H13" s="3571" t="s">
        <v>3430</v>
      </c>
      <c r="I13" s="3572"/>
      <c r="J13" s="3573"/>
      <c r="L13" s="2681" t="s">
        <v>2772</v>
      </c>
      <c r="M13" s="265" t="s">
        <v>6289</v>
      </c>
      <c r="S13" s="3479"/>
      <c r="T13" s="3480"/>
      <c r="Y13" s="1807"/>
      <c r="Z13" s="1773">
        <v>13</v>
      </c>
      <c r="AZ13" s="2783"/>
    </row>
    <row r="14" spans="1:52" s="265" customFormat="1" ht="16.5" customHeight="1">
      <c r="A14" s="1711"/>
      <c r="B14" s="2681" t="s">
        <v>2772</v>
      </c>
      <c r="C14" s="265" t="s">
        <v>2484</v>
      </c>
      <c r="E14" s="2681" t="s">
        <v>2772</v>
      </c>
      <c r="F14" s="284" t="s">
        <v>3439</v>
      </c>
      <c r="L14" s="2681" t="s">
        <v>2772</v>
      </c>
      <c r="M14" s="265" t="s">
        <v>6535</v>
      </c>
      <c r="S14" s="3481"/>
      <c r="T14" s="3482"/>
      <c r="Y14" s="1807"/>
      <c r="Z14" s="1773">
        <v>14</v>
      </c>
      <c r="AZ14" s="2783"/>
    </row>
    <row r="15" spans="1:52" s="265" customFormat="1" ht="16.5" customHeight="1">
      <c r="A15" s="1711"/>
      <c r="B15" s="2681" t="s">
        <v>2772</v>
      </c>
      <c r="C15" s="265" t="s">
        <v>3349</v>
      </c>
      <c r="E15" s="2681" t="s">
        <v>2772</v>
      </c>
      <c r="F15" s="284" t="s">
        <v>6293</v>
      </c>
      <c r="L15" s="2681" t="s">
        <v>2772</v>
      </c>
      <c r="M15" s="1693" t="s">
        <v>6294</v>
      </c>
      <c r="Y15" s="1807"/>
      <c r="Z15" s="1773">
        <v>15</v>
      </c>
      <c r="AZ15" s="2783"/>
    </row>
    <row r="16" spans="1:52" s="265" customFormat="1" ht="16.5" customHeight="1">
      <c r="A16" s="1711"/>
      <c r="B16" s="2694" t="s">
        <v>2772</v>
      </c>
      <c r="C16" s="266" t="s">
        <v>1720</v>
      </c>
      <c r="E16" s="2694" t="s">
        <v>2772</v>
      </c>
      <c r="F16" s="266" t="s">
        <v>6837</v>
      </c>
      <c r="I16" s="3585"/>
      <c r="J16" s="3586"/>
      <c r="L16" s="2694" t="s">
        <v>2772</v>
      </c>
      <c r="M16" s="1693" t="s">
        <v>6288</v>
      </c>
      <c r="Y16" s="1807"/>
      <c r="Z16" s="1773">
        <v>16</v>
      </c>
      <c r="AZ16" s="2783"/>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83"/>
    </row>
    <row r="18" spans="1:52" s="265" customFormat="1" ht="12" customHeight="1">
      <c r="A18" s="1711"/>
      <c r="L18" s="289"/>
      <c r="M18" s="312"/>
      <c r="N18" s="289"/>
      <c r="O18" s="289"/>
      <c r="P18" s="289"/>
      <c r="Q18" s="289"/>
      <c r="Y18" s="2785"/>
      <c r="Z18" s="1773">
        <v>18</v>
      </c>
      <c r="AZ18" s="2786"/>
    </row>
    <row r="19" spans="1:52" s="332" customFormat="1" ht="15" customHeight="1">
      <c r="A19" s="291" t="s">
        <v>710</v>
      </c>
      <c r="B19" s="1662" t="s">
        <v>2241</v>
      </c>
      <c r="C19" s="289"/>
      <c r="D19" s="2629"/>
      <c r="E19" s="289"/>
      <c r="F19" s="289"/>
      <c r="G19" s="289"/>
      <c r="L19" s="289"/>
      <c r="M19" s="2629"/>
      <c r="N19" s="3587"/>
      <c r="O19" s="3587"/>
      <c r="P19" s="289"/>
      <c r="Q19" s="289"/>
      <c r="S19" s="332" t="str">
        <f>B19</f>
        <v>CONSTRUCTION FINANCING</v>
      </c>
      <c r="Y19" s="2785"/>
      <c r="Z19" s="1773">
        <v>19</v>
      </c>
      <c r="AZ19" s="2786"/>
    </row>
    <row r="20" spans="1:52" s="332" customFormat="1" ht="5.25" customHeight="1">
      <c r="A20" s="291"/>
      <c r="B20" s="1662"/>
      <c r="C20" s="289"/>
      <c r="K20" s="289"/>
      <c r="L20" s="289"/>
      <c r="M20" s="2629"/>
      <c r="N20" s="2624"/>
      <c r="O20" s="2624"/>
      <c r="P20" s="289"/>
      <c r="Q20" s="289"/>
      <c r="Y20" s="2785"/>
      <c r="Z20" s="1773">
        <v>20</v>
      </c>
      <c r="AZ20" s="2783"/>
    </row>
    <row r="21" spans="1:52" s="265" customFormat="1" ht="17.100000000000001" customHeight="1">
      <c r="A21" s="289"/>
      <c r="B21" s="2620" t="s">
        <v>1784</v>
      </c>
      <c r="C21" s="289"/>
      <c r="D21" s="289"/>
      <c r="E21" s="289"/>
      <c r="F21" s="289"/>
      <c r="G21" s="289"/>
      <c r="H21" s="3588" t="s">
        <v>1249</v>
      </c>
      <c r="I21" s="3588"/>
      <c r="J21" s="3588"/>
      <c r="K21" s="3588"/>
      <c r="L21" s="3339" t="s">
        <v>4023</v>
      </c>
      <c r="M21" s="3339"/>
      <c r="N21" s="3339" t="s">
        <v>1446</v>
      </c>
      <c r="O21" s="3339"/>
      <c r="P21" s="3339" t="s">
        <v>1564</v>
      </c>
      <c r="Q21" s="3339"/>
      <c r="S21" s="3529" t="s">
        <v>2537</v>
      </c>
      <c r="T21" s="3529"/>
      <c r="Y21" s="1807"/>
      <c r="Z21" s="1773">
        <v>21</v>
      </c>
      <c r="AZ21" s="2783" t="s">
        <v>6653</v>
      </c>
    </row>
    <row r="22" spans="1:52" s="265" customFormat="1" ht="15.75" customHeight="1">
      <c r="A22" s="289"/>
      <c r="B22" s="3532" t="s">
        <v>1525</v>
      </c>
      <c r="C22" s="3533"/>
      <c r="D22" s="3533"/>
      <c r="E22" s="2627"/>
      <c r="F22" s="2627"/>
      <c r="G22" s="2627"/>
      <c r="H22" s="3504" t="s">
        <v>6977</v>
      </c>
      <c r="I22" s="3505"/>
      <c r="J22" s="3505"/>
      <c r="K22" s="3506"/>
      <c r="L22" s="3553">
        <v>10770000</v>
      </c>
      <c r="M22" s="3554"/>
      <c r="N22" s="3555">
        <v>4.4999999999999998E-2</v>
      </c>
      <c r="O22" s="3556"/>
      <c r="P22" s="3557">
        <v>24</v>
      </c>
      <c r="Q22" s="3558"/>
      <c r="S22" s="3518"/>
      <c r="T22" s="3519"/>
      <c r="Y22" s="1807" t="s">
        <v>6653</v>
      </c>
      <c r="Z22" s="1773">
        <v>22</v>
      </c>
      <c r="AZ22" s="2783" t="s">
        <v>6654</v>
      </c>
    </row>
    <row r="23" spans="1:52" s="265" customFormat="1" ht="15.75" customHeight="1">
      <c r="A23" s="289"/>
      <c r="B23" s="3520" t="s">
        <v>1526</v>
      </c>
      <c r="C23" s="3521"/>
      <c r="D23" s="3521"/>
      <c r="E23" s="2629"/>
      <c r="F23" s="2629"/>
      <c r="G23" s="2629"/>
      <c r="H23" s="3466"/>
      <c r="I23" s="3467"/>
      <c r="J23" s="3467"/>
      <c r="K23" s="3468"/>
      <c r="L23" s="3541"/>
      <c r="M23" s="3542"/>
      <c r="N23" s="3564"/>
      <c r="O23" s="3565"/>
      <c r="P23" s="3566"/>
      <c r="Q23" s="3567"/>
      <c r="S23" s="3479"/>
      <c r="T23" s="3480"/>
      <c r="Y23" s="1807" t="s">
        <v>6654</v>
      </c>
      <c r="Z23" s="1773">
        <v>23</v>
      </c>
      <c r="AZ23" s="2783" t="s">
        <v>6655</v>
      </c>
    </row>
    <row r="24" spans="1:52" s="265" customFormat="1" ht="15.75" customHeight="1">
      <c r="A24" s="289"/>
      <c r="B24" s="3568" t="s">
        <v>1527</v>
      </c>
      <c r="C24" s="3569"/>
      <c r="D24" s="3569"/>
      <c r="E24" s="2632"/>
      <c r="F24" s="2632"/>
      <c r="G24" s="2632"/>
      <c r="H24" s="3484"/>
      <c r="I24" s="3485"/>
      <c r="J24" s="3485"/>
      <c r="K24" s="3486"/>
      <c r="L24" s="3545"/>
      <c r="M24" s="3546"/>
      <c r="N24" s="3589"/>
      <c r="O24" s="3590"/>
      <c r="P24" s="3591"/>
      <c r="Q24" s="3592"/>
      <c r="S24" s="3479"/>
      <c r="T24" s="3480"/>
      <c r="Y24" s="1807" t="s">
        <v>6655</v>
      </c>
      <c r="Z24" s="1773">
        <v>24</v>
      </c>
      <c r="AZ24" s="2783" t="s">
        <v>6656</v>
      </c>
    </row>
    <row r="25" spans="1:52" s="265" customFormat="1" ht="15.75" customHeight="1">
      <c r="A25" s="289"/>
      <c r="B25" s="3532" t="s">
        <v>2114</v>
      </c>
      <c r="C25" s="3533"/>
      <c r="D25" s="3533"/>
      <c r="E25" s="2629"/>
      <c r="F25" s="2629"/>
      <c r="G25" s="2629"/>
      <c r="H25" s="3559"/>
      <c r="I25" s="3560"/>
      <c r="J25" s="3560"/>
      <c r="K25" s="3561"/>
      <c r="L25" s="3562"/>
      <c r="M25" s="3563"/>
      <c r="N25" s="3543"/>
      <c r="O25" s="3544"/>
      <c r="P25" s="3527"/>
      <c r="Q25" s="3527"/>
      <c r="S25" s="3479"/>
      <c r="T25" s="3480"/>
      <c r="Y25" s="1807" t="s">
        <v>6656</v>
      </c>
      <c r="Z25" s="1773">
        <v>25</v>
      </c>
      <c r="AZ25" s="2783" t="s">
        <v>6657</v>
      </c>
    </row>
    <row r="26" spans="1:52" s="265" customFormat="1" ht="15.75" customHeight="1">
      <c r="A26" s="289"/>
      <c r="B26" s="3520" t="s">
        <v>768</v>
      </c>
      <c r="C26" s="3521"/>
      <c r="D26" s="3521"/>
      <c r="E26" s="2629"/>
      <c r="H26" s="3466"/>
      <c r="I26" s="3467"/>
      <c r="J26" s="3467"/>
      <c r="K26" s="3468"/>
      <c r="L26" s="3541"/>
      <c r="M26" s="3542"/>
      <c r="N26" s="3543"/>
      <c r="O26" s="3544"/>
      <c r="P26" s="3527"/>
      <c r="Q26" s="3527"/>
      <c r="S26" s="3479"/>
      <c r="T26" s="3480"/>
      <c r="Y26" s="1807" t="s">
        <v>6657</v>
      </c>
      <c r="Z26" s="1773">
        <v>26</v>
      </c>
      <c r="AZ26" s="2783" t="s">
        <v>6658</v>
      </c>
    </row>
    <row r="27" spans="1:52" s="265" customFormat="1" ht="15.75" customHeight="1">
      <c r="A27" s="289"/>
      <c r="B27" s="3520" t="s">
        <v>611</v>
      </c>
      <c r="C27" s="3521"/>
      <c r="D27" s="3521"/>
      <c r="E27" s="2629"/>
      <c r="H27" s="3466"/>
      <c r="I27" s="3467"/>
      <c r="J27" s="3467"/>
      <c r="K27" s="3468"/>
      <c r="L27" s="3541"/>
      <c r="M27" s="3542"/>
      <c r="N27" s="3543"/>
      <c r="O27" s="3544"/>
      <c r="P27" s="3527"/>
      <c r="Q27" s="3527"/>
      <c r="S27" s="3479"/>
      <c r="T27" s="3480"/>
      <c r="Y27" s="1807" t="s">
        <v>6658</v>
      </c>
      <c r="Z27" s="1773">
        <v>27</v>
      </c>
      <c r="AZ27" s="2783" t="s">
        <v>6659</v>
      </c>
    </row>
    <row r="28" spans="1:52" s="265" customFormat="1" ht="15.75" customHeight="1">
      <c r="A28" s="289"/>
      <c r="B28" s="3520" t="s">
        <v>769</v>
      </c>
      <c r="C28" s="3521"/>
      <c r="D28" s="3521"/>
      <c r="E28" s="2629"/>
      <c r="H28" s="3466" t="s">
        <v>7019</v>
      </c>
      <c r="I28" s="3467"/>
      <c r="J28" s="3467"/>
      <c r="K28" s="3468"/>
      <c r="L28" s="3541">
        <v>5524448</v>
      </c>
      <c r="M28" s="3542"/>
      <c r="N28" s="289"/>
      <c r="Q28" s="289"/>
      <c r="S28" s="3481"/>
      <c r="T28" s="3482"/>
      <c r="Y28" s="1807" t="s">
        <v>6659</v>
      </c>
      <c r="Z28" s="1773">
        <v>28</v>
      </c>
      <c r="AZ28" s="2783" t="s">
        <v>6660</v>
      </c>
    </row>
    <row r="29" spans="1:52" s="265" customFormat="1" ht="15.75" customHeight="1">
      <c r="A29" s="289"/>
      <c r="B29" s="3520" t="s">
        <v>770</v>
      </c>
      <c r="C29" s="3521"/>
      <c r="D29" s="3521"/>
      <c r="E29" s="2629"/>
      <c r="H29" s="3466" t="s">
        <v>7019</v>
      </c>
      <c r="I29" s="3467"/>
      <c r="J29" s="3467"/>
      <c r="K29" s="3468"/>
      <c r="L29" s="3541">
        <v>3250000</v>
      </c>
      <c r="M29" s="3542"/>
      <c r="N29" s="289"/>
      <c r="Q29" s="289"/>
      <c r="S29" s="3518"/>
      <c r="T29" s="3519"/>
      <c r="Y29" s="1807" t="s">
        <v>6660</v>
      </c>
      <c r="Z29" s="1773">
        <v>29</v>
      </c>
      <c r="AZ29" s="2783" t="s">
        <v>6661</v>
      </c>
    </row>
    <row r="30" spans="1:52" s="265" customFormat="1" ht="15.75" customHeight="1">
      <c r="A30" s="289"/>
      <c r="B30" s="2628" t="s">
        <v>231</v>
      </c>
      <c r="C30" s="2629"/>
      <c r="D30" s="3494"/>
      <c r="E30" s="3494"/>
      <c r="F30" s="3494"/>
      <c r="G30" s="3494"/>
      <c r="H30" s="3466"/>
      <c r="I30" s="3467"/>
      <c r="J30" s="3467"/>
      <c r="K30" s="3468"/>
      <c r="L30" s="3541"/>
      <c r="M30" s="3542"/>
      <c r="N30" s="289"/>
      <c r="Q30" s="289"/>
      <c r="S30" s="3479"/>
      <c r="T30" s="3480"/>
      <c r="Y30" s="1807" t="s">
        <v>6661</v>
      </c>
      <c r="Z30" s="1773">
        <v>30</v>
      </c>
      <c r="AZ30" s="2783" t="s">
        <v>6662</v>
      </c>
    </row>
    <row r="31" spans="1:52" s="265" customFormat="1" ht="15.75" customHeight="1">
      <c r="A31" s="289"/>
      <c r="B31" s="2628" t="s">
        <v>231</v>
      </c>
      <c r="C31" s="2629"/>
      <c r="D31" s="3495"/>
      <c r="E31" s="3495"/>
      <c r="F31" s="3495"/>
      <c r="G31" s="3495"/>
      <c r="H31" s="3466"/>
      <c r="I31" s="3467"/>
      <c r="J31" s="3467"/>
      <c r="K31" s="3468"/>
      <c r="L31" s="3541"/>
      <c r="M31" s="3542"/>
      <c r="N31" s="289"/>
      <c r="S31" s="3479"/>
      <c r="T31" s="3480"/>
      <c r="Y31" s="1807" t="s">
        <v>6662</v>
      </c>
      <c r="Z31" s="1773">
        <v>31</v>
      </c>
      <c r="AZ31" s="2783" t="s">
        <v>6663</v>
      </c>
    </row>
    <row r="32" spans="1:52" s="265" customFormat="1" ht="15.75" customHeight="1">
      <c r="A32" s="289"/>
      <c r="B32" s="2631" t="s">
        <v>231</v>
      </c>
      <c r="C32" s="2632"/>
      <c r="D32" s="3483"/>
      <c r="E32" s="3483"/>
      <c r="F32" s="3483"/>
      <c r="G32" s="3483"/>
      <c r="H32" s="3484"/>
      <c r="I32" s="3485"/>
      <c r="J32" s="3485"/>
      <c r="K32" s="3486"/>
      <c r="L32" s="3545"/>
      <c r="M32" s="3546"/>
      <c r="N32" s="289"/>
      <c r="S32" s="3479"/>
      <c r="T32" s="3480"/>
      <c r="Y32" s="1807" t="s">
        <v>6663</v>
      </c>
      <c r="Z32" s="1773">
        <v>32</v>
      </c>
      <c r="AZ32" s="2783"/>
    </row>
    <row r="33" spans="1:52" s="265" customFormat="1" ht="16.5" customHeight="1">
      <c r="A33" s="289"/>
      <c r="B33" s="1662" t="s">
        <v>1250</v>
      </c>
      <c r="C33" s="289"/>
      <c r="D33" s="289"/>
      <c r="E33" s="289"/>
      <c r="F33" s="289"/>
      <c r="G33" s="289"/>
      <c r="H33" s="289"/>
      <c r="I33" s="289"/>
      <c r="L33" s="3547">
        <f>SUM(L22:L32)</f>
        <v>19544448</v>
      </c>
      <c r="M33" s="3548"/>
      <c r="N33" s="307"/>
      <c r="S33" s="3479"/>
      <c r="T33" s="3480"/>
      <c r="Y33" s="1807"/>
      <c r="Z33" s="1773">
        <v>33</v>
      </c>
      <c r="AZ33" s="2783"/>
    </row>
    <row r="34" spans="1:52" s="265" customFormat="1" ht="16.5" customHeight="1">
      <c r="A34" s="289"/>
      <c r="B34" s="2620" t="s">
        <v>1251</v>
      </c>
      <c r="C34" s="289"/>
      <c r="D34" s="289"/>
      <c r="E34" s="289"/>
      <c r="F34" s="289"/>
      <c r="G34" s="289"/>
      <c r="H34" s="289"/>
      <c r="I34" s="289"/>
      <c r="L34" s="354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13510960.43</v>
      </c>
      <c r="M34" s="3550"/>
      <c r="N34" s="752"/>
      <c r="S34" s="3479"/>
      <c r="T34" s="3480"/>
      <c r="Y34" s="1807"/>
      <c r="Z34" s="1773">
        <v>34</v>
      </c>
      <c r="AZ34" s="2783"/>
    </row>
    <row r="35" spans="1:52" s="265" customFormat="1" ht="16.5" customHeight="1">
      <c r="A35" s="289"/>
      <c r="B35" s="2621" t="s">
        <v>2063</v>
      </c>
      <c r="C35" s="289"/>
      <c r="D35" s="289"/>
      <c r="E35" s="289"/>
      <c r="F35" s="289"/>
      <c r="G35" s="289"/>
      <c r="H35" s="289"/>
      <c r="I35" s="289"/>
      <c r="L35" s="3551">
        <f>L33-L34</f>
        <v>6033487.5700000003</v>
      </c>
      <c r="M35" s="3552"/>
      <c r="N35" s="752"/>
      <c r="S35" s="3481"/>
      <c r="T35" s="3482"/>
      <c r="Y35" s="1807"/>
      <c r="Z35" s="1773">
        <v>35</v>
      </c>
      <c r="AZ35" s="2787"/>
    </row>
    <row r="36" spans="1:52" ht="9.6" customHeight="1">
      <c r="A36" s="315"/>
      <c r="B36" s="1662"/>
      <c r="C36" s="307"/>
      <c r="D36" s="307"/>
      <c r="E36" s="307"/>
      <c r="F36" s="307"/>
      <c r="G36" s="307"/>
      <c r="H36" s="307"/>
      <c r="I36" s="307"/>
      <c r="J36" s="307"/>
      <c r="K36" s="307"/>
      <c r="L36" s="307"/>
      <c r="M36" s="2630"/>
      <c r="N36" s="2630"/>
      <c r="Z36" s="1773">
        <v>36</v>
      </c>
    </row>
    <row r="37" spans="1:52" ht="9.6" customHeight="1">
      <c r="A37" s="291" t="s">
        <v>712</v>
      </c>
      <c r="B37" s="1662" t="s">
        <v>767</v>
      </c>
      <c r="C37" s="307"/>
      <c r="D37" s="307"/>
      <c r="E37" s="307"/>
      <c r="F37" s="307"/>
      <c r="G37" s="307"/>
      <c r="H37" s="307"/>
      <c r="I37" s="307"/>
      <c r="J37" s="307"/>
      <c r="K37" s="307"/>
      <c r="L37" s="307"/>
      <c r="M37" s="2630"/>
      <c r="N37" s="2630"/>
      <c r="O37" s="307"/>
      <c r="S37" s="332" t="str">
        <f>B37</f>
        <v>PERMANENT FINANCING</v>
      </c>
      <c r="Z37" s="1773">
        <v>37</v>
      </c>
      <c r="AZ37" s="2783"/>
    </row>
    <row r="38" spans="1:52" s="265" customFormat="1" ht="13.35" customHeight="1">
      <c r="A38" s="289"/>
      <c r="B38" s="289"/>
      <c r="C38" s="289"/>
      <c r="D38" s="289"/>
      <c r="E38" s="289"/>
      <c r="F38" s="2630"/>
      <c r="G38" s="2630"/>
      <c r="H38" s="3527"/>
      <c r="I38" s="3527"/>
      <c r="K38" s="357" t="s">
        <v>2007</v>
      </c>
      <c r="L38" s="2630" t="s">
        <v>1247</v>
      </c>
      <c r="M38" s="2630" t="s">
        <v>1252</v>
      </c>
      <c r="P38" s="3528" t="s">
        <v>31</v>
      </c>
      <c r="Q38" s="3528"/>
      <c r="S38" s="332"/>
      <c r="Y38" s="1807"/>
      <c r="Z38" s="1773">
        <v>38</v>
      </c>
      <c r="AZ38" s="2783"/>
    </row>
    <row r="39" spans="1:52" s="265" customFormat="1" ht="13.35" customHeight="1">
      <c r="A39" s="289"/>
      <c r="B39" s="2625" t="s">
        <v>1784</v>
      </c>
      <c r="C39" s="2632"/>
      <c r="D39" s="2632"/>
      <c r="E39" s="3163" t="s">
        <v>1249</v>
      </c>
      <c r="F39" s="3163"/>
      <c r="G39" s="3163"/>
      <c r="H39" s="3163"/>
      <c r="I39" s="3339" t="s">
        <v>4022</v>
      </c>
      <c r="J39" s="3339"/>
      <c r="K39" s="2618" t="s">
        <v>1722</v>
      </c>
      <c r="L39" s="2618" t="s">
        <v>2113</v>
      </c>
      <c r="M39" s="2618" t="s">
        <v>2113</v>
      </c>
      <c r="N39" s="3339" t="s">
        <v>69</v>
      </c>
      <c r="O39" s="3339"/>
      <c r="P39" s="3235"/>
      <c r="Q39" s="3235"/>
      <c r="S39" s="3529" t="s">
        <v>2537</v>
      </c>
      <c r="T39" s="3529"/>
      <c r="Y39" s="1807"/>
      <c r="Z39" s="1773">
        <v>39</v>
      </c>
      <c r="AZ39" s="2783" t="s">
        <v>6664</v>
      </c>
    </row>
    <row r="40" spans="1:52" s="265" customFormat="1" ht="15.75" customHeight="1">
      <c r="A40" s="289"/>
      <c r="B40" s="3532" t="s">
        <v>2490</v>
      </c>
      <c r="C40" s="3533"/>
      <c r="D40" s="3533"/>
      <c r="E40" s="3504" t="s">
        <v>6922</v>
      </c>
      <c r="F40" s="3505"/>
      <c r="G40" s="3505"/>
      <c r="H40" s="3506"/>
      <c r="I40" s="3499">
        <v>2289002</v>
      </c>
      <c r="J40" s="3500"/>
      <c r="K40" s="2788">
        <v>5.1499999999999997E-2</v>
      </c>
      <c r="L40" s="2692">
        <v>18</v>
      </c>
      <c r="M40" s="2692">
        <v>35</v>
      </c>
      <c r="N40" s="3534" t="s">
        <v>6923</v>
      </c>
      <c r="O40" s="3534"/>
      <c r="P40" s="3498">
        <f>IF(OR(I40&lt;=0,I40=""),"",IF(N40="Cash Flow",0,IF(N40="Amortizing",-PMT(K40/12,M40*12,I40,0,0)*12,"")))</f>
        <v>141266.50429738068</v>
      </c>
      <c r="Q40" s="3498"/>
      <c r="S40" s="3518"/>
      <c r="T40" s="3519"/>
      <c r="Y40" s="1807" t="s">
        <v>6664</v>
      </c>
      <c r="Z40" s="1773">
        <v>40</v>
      </c>
      <c r="AZ40" s="2783" t="s">
        <v>6665</v>
      </c>
    </row>
    <row r="41" spans="1:52" s="265" customFormat="1" ht="15.75" customHeight="1">
      <c r="A41" s="289"/>
      <c r="B41" s="3520" t="s">
        <v>2491</v>
      </c>
      <c r="C41" s="3521"/>
      <c r="D41" s="3521"/>
      <c r="E41" s="3466"/>
      <c r="F41" s="3467"/>
      <c r="G41" s="3467"/>
      <c r="H41" s="3468"/>
      <c r="I41" s="3469"/>
      <c r="J41" s="3515"/>
      <c r="K41" s="2789"/>
      <c r="L41" s="2681"/>
      <c r="M41" s="2681"/>
      <c r="N41" s="3530"/>
      <c r="O41" s="3530"/>
      <c r="P41" s="3531" t="str">
        <f>IF(OR(I41&lt;=0,I41=""),"",IF(N41="Cash Flow",0,IF(N41="Amortizing",-PMT(K41/12,M41*12,I41,0,0)*12,"")))</f>
        <v/>
      </c>
      <c r="Q41" s="3531"/>
      <c r="S41" s="3479"/>
      <c r="T41" s="3480"/>
      <c r="Y41" s="1807" t="s">
        <v>6665</v>
      </c>
      <c r="Z41" s="1773">
        <v>41</v>
      </c>
      <c r="AZ41" s="2783" t="s">
        <v>6666</v>
      </c>
    </row>
    <row r="42" spans="1:52" s="265" customFormat="1" ht="15.75" customHeight="1">
      <c r="A42" s="289"/>
      <c r="B42" s="3520" t="s">
        <v>2492</v>
      </c>
      <c r="C42" s="3521"/>
      <c r="D42" s="3521"/>
      <c r="E42" s="3466"/>
      <c r="F42" s="3467"/>
      <c r="G42" s="3467"/>
      <c r="H42" s="3468"/>
      <c r="I42" s="3469"/>
      <c r="J42" s="3515"/>
      <c r="K42" s="2789"/>
      <c r="L42" s="2681"/>
      <c r="M42" s="2681"/>
      <c r="N42" s="3530"/>
      <c r="O42" s="3530"/>
      <c r="P42" s="3531" t="str">
        <f>IF(OR(I42&lt;=0,I42=""),"",IF(N42="Cash Flow",0,IF(N42="Amortizing",-PMT(K42/12,M42*12,I42,0,0)*12,"")))</f>
        <v/>
      </c>
      <c r="Q42" s="3531"/>
      <c r="S42" s="3479"/>
      <c r="T42" s="3480"/>
      <c r="Y42" s="1807" t="s">
        <v>6666</v>
      </c>
      <c r="Z42" s="1773">
        <v>42</v>
      </c>
      <c r="AZ42" s="2783" t="s">
        <v>6667</v>
      </c>
    </row>
    <row r="43" spans="1:52" s="265" customFormat="1" ht="15.75" customHeight="1">
      <c r="A43" s="289"/>
      <c r="B43" s="2628" t="s">
        <v>711</v>
      </c>
      <c r="C43" s="3509"/>
      <c r="D43" s="3510"/>
      <c r="E43" s="3466"/>
      <c r="F43" s="3467"/>
      <c r="G43" s="3467"/>
      <c r="H43" s="3468"/>
      <c r="I43" s="3511"/>
      <c r="J43" s="3512"/>
      <c r="K43" s="2790"/>
      <c r="L43" s="2694"/>
      <c r="M43" s="2694"/>
      <c r="N43" s="3514"/>
      <c r="O43" s="3514"/>
      <c r="P43" s="3513" t="str">
        <f>IF(OR(I43&lt;=0,I43=""),"",IF(N43="Cash Flow",0,IF(N43="Amortizing",-PMT(K43/12,M43*12,I43,0,0)*12,"")))</f>
        <v/>
      </c>
      <c r="Q43" s="3513"/>
      <c r="S43" s="3479"/>
      <c r="T43" s="3480"/>
      <c r="Y43" s="1807" t="s">
        <v>6667</v>
      </c>
      <c r="Z43" s="1773">
        <v>43</v>
      </c>
      <c r="AZ43" s="2783" t="s">
        <v>6668</v>
      </c>
    </row>
    <row r="44" spans="1:52" s="265" customFormat="1" ht="15.75" customHeight="1">
      <c r="A44" s="289"/>
      <c r="B44" s="2628" t="s">
        <v>4145</v>
      </c>
      <c r="C44" s="2629"/>
      <c r="D44" s="2634"/>
      <c r="E44" s="3466"/>
      <c r="F44" s="3467"/>
      <c r="G44" s="3467"/>
      <c r="H44" s="3468"/>
      <c r="I44" s="3469"/>
      <c r="J44" s="3515"/>
      <c r="K44" s="437"/>
      <c r="L44" s="2637"/>
      <c r="M44" s="2637"/>
      <c r="N44" s="3517"/>
      <c r="O44" s="3517"/>
      <c r="P44" s="3516"/>
      <c r="Q44" s="3516"/>
      <c r="S44" s="3479"/>
      <c r="T44" s="3480"/>
      <c r="Y44" s="1807" t="s">
        <v>6668</v>
      </c>
      <c r="Z44" s="1773">
        <v>44</v>
      </c>
      <c r="AZ44" s="2783" t="s">
        <v>6669</v>
      </c>
    </row>
    <row r="45" spans="1:52" s="265" customFormat="1" ht="15.75" customHeight="1">
      <c r="A45" s="289"/>
      <c r="B45" s="2631" t="s">
        <v>219</v>
      </c>
      <c r="C45" s="2632"/>
      <c r="D45" s="358">
        <f>IF(OR(I45="",I45=0,'Part IV-A-Uses of Funds'!$G$127="",'Part IV-A-Uses of Funds'!$G$127=0),"",I45/'Part IV-A-Uses of Funds'!$G$127)</f>
        <v>8.5486904761904764E-2</v>
      </c>
      <c r="E45" s="3484" t="s">
        <v>6877</v>
      </c>
      <c r="F45" s="3485"/>
      <c r="G45" s="3485"/>
      <c r="H45" s="3486"/>
      <c r="I45" s="3535">
        <v>143618</v>
      </c>
      <c r="J45" s="3536"/>
      <c r="K45" s="2791">
        <v>0</v>
      </c>
      <c r="L45" s="2680">
        <v>4</v>
      </c>
      <c r="M45" s="2680">
        <v>4</v>
      </c>
      <c r="N45" s="3539" t="s">
        <v>1122</v>
      </c>
      <c r="O45" s="3540"/>
      <c r="P45" s="3537">
        <v>14361</v>
      </c>
      <c r="Q45" s="3538"/>
      <c r="S45" s="3479"/>
      <c r="T45" s="3480"/>
      <c r="Y45" s="1807" t="s">
        <v>6669</v>
      </c>
      <c r="Z45" s="1773">
        <v>45</v>
      </c>
      <c r="AZ45" s="2783"/>
    </row>
    <row r="46" spans="1:52" s="265" customFormat="1" ht="3" customHeight="1">
      <c r="A46" s="289"/>
      <c r="B46" s="289"/>
      <c r="C46" s="289"/>
      <c r="D46" s="289"/>
      <c r="E46" s="289"/>
      <c r="F46" s="289"/>
      <c r="G46" s="289"/>
      <c r="H46" s="289"/>
      <c r="I46" s="2792"/>
      <c r="J46" s="2793"/>
      <c r="K46" s="2794"/>
      <c r="L46" s="2630"/>
      <c r="M46" s="2630"/>
      <c r="N46" s="2795"/>
      <c r="O46" s="2795"/>
      <c r="P46" s="2630"/>
      <c r="Q46" s="2630"/>
      <c r="S46" s="3479"/>
      <c r="T46" s="3480"/>
      <c r="Y46" s="1807"/>
      <c r="Z46" s="1773">
        <v>46</v>
      </c>
      <c r="AZ46" s="2783"/>
    </row>
    <row r="47" spans="1:52" s="265" customFormat="1" ht="14.25" customHeight="1">
      <c r="A47" s="289"/>
      <c r="B47" s="926" t="s">
        <v>3558</v>
      </c>
      <c r="C47" s="2629"/>
      <c r="E47" s="265" t="s">
        <v>3511</v>
      </c>
      <c r="F47" s="3473">
        <f>IF(OR($I$45="",$I$45=0,'Part VII-Pro Forma'!$S$35=0,'Part VII-Pro Forma'!$S$35=""),"",VLOOKUP($L$45,'Part VII-Pro Forma'!$Q$21:$S$40,3))</f>
        <v>146141.68558492512</v>
      </c>
      <c r="G47" s="3474"/>
      <c r="H47" s="552" t="s">
        <v>3557</v>
      </c>
      <c r="I47" s="3473">
        <f>IF(OR($I$45="",$I$45=0,'Part VII-Pro Forma'!$R$35=0,'Part VII-Pro Forma'!$R$35=""),"",VLOOKUP($L$45,'Part VII-Pro Forma'!$Q$21:$S$35,2))</f>
        <v>146141</v>
      </c>
      <c r="J47" s="3474"/>
      <c r="K47" s="552" t="s">
        <v>3559</v>
      </c>
      <c r="L47" s="3496">
        <f>IF(OR($F$47 = 0,$F$47 =""),"",$I$47/$F$47)</f>
        <v>0.99999530876544651</v>
      </c>
      <c r="M47" s="3497"/>
      <c r="N47" s="3477" t="s">
        <v>4029</v>
      </c>
      <c r="O47" s="3478"/>
      <c r="P47" s="3475">
        <f>IF(OR($I$62=0,$I$60&gt;$I$61),0,ABS($I$60-$I$61))</f>
        <v>0.42999999970197678</v>
      </c>
      <c r="Q47" s="3476"/>
      <c r="S47" s="3479"/>
      <c r="T47" s="3480"/>
      <c r="Y47" s="1807"/>
      <c r="Z47" s="1773">
        <v>47</v>
      </c>
      <c r="AZ47" s="2783"/>
    </row>
    <row r="48" spans="1:52" s="265" customFormat="1" ht="3" customHeight="1">
      <c r="A48" s="289"/>
      <c r="B48" s="289"/>
      <c r="C48" s="289"/>
      <c r="D48" s="289"/>
      <c r="E48" s="289"/>
      <c r="F48" s="289"/>
      <c r="G48" s="289"/>
      <c r="H48" s="289"/>
      <c r="I48" s="2796"/>
      <c r="J48" s="2797"/>
      <c r="K48" s="2794"/>
      <c r="L48" s="2630"/>
      <c r="M48" s="2630"/>
      <c r="N48" s="2795"/>
      <c r="O48" s="2795"/>
      <c r="P48" s="2630"/>
      <c r="Q48" s="2630"/>
      <c r="S48" s="3481"/>
      <c r="T48" s="3482"/>
      <c r="Y48" s="1807"/>
      <c r="Z48" s="1773">
        <v>48</v>
      </c>
      <c r="AZ48" s="2783" t="s">
        <v>6670</v>
      </c>
    </row>
    <row r="49" spans="1:52" s="265" customFormat="1" ht="15.75" customHeight="1">
      <c r="A49" s="289"/>
      <c r="B49" s="3501" t="s">
        <v>2114</v>
      </c>
      <c r="C49" s="3502"/>
      <c r="D49" s="3503"/>
      <c r="E49" s="3504"/>
      <c r="F49" s="3505"/>
      <c r="G49" s="3505"/>
      <c r="H49" s="3506"/>
      <c r="I49" s="3507"/>
      <c r="J49" s="3508"/>
      <c r="K49" s="359"/>
      <c r="L49" s="359"/>
      <c r="M49" s="359"/>
      <c r="N49" s="359"/>
      <c r="O49" s="359"/>
      <c r="P49" s="389" t="s">
        <v>491</v>
      </c>
      <c r="Q49" s="359"/>
      <c r="S49" s="3518"/>
      <c r="T49" s="3519"/>
      <c r="Y49" s="1807" t="s">
        <v>6670</v>
      </c>
      <c r="Z49" s="1773">
        <v>49</v>
      </c>
      <c r="AZ49" s="2783" t="s">
        <v>6671</v>
      </c>
    </row>
    <row r="50" spans="1:52" s="265" customFormat="1" ht="15.75" customHeight="1">
      <c r="A50" s="289"/>
      <c r="B50" s="3520" t="s">
        <v>768</v>
      </c>
      <c r="C50" s="3521"/>
      <c r="D50" s="3522"/>
      <c r="E50" s="3466"/>
      <c r="F50" s="3467"/>
      <c r="G50" s="3467"/>
      <c r="H50" s="3468"/>
      <c r="I50" s="3469"/>
      <c r="J50" s="3515"/>
      <c r="L50" s="3523" t="s">
        <v>492</v>
      </c>
      <c r="M50" s="3523"/>
      <c r="N50" s="3524" t="s">
        <v>493</v>
      </c>
      <c r="O50" s="3524"/>
      <c r="P50" s="390" t="s">
        <v>2441</v>
      </c>
      <c r="Q50" s="359"/>
      <c r="S50" s="3479"/>
      <c r="T50" s="3480"/>
      <c r="Y50" s="1807" t="s">
        <v>6671</v>
      </c>
      <c r="Z50" s="1773">
        <v>50</v>
      </c>
      <c r="AZ50" s="2783" t="s">
        <v>6672</v>
      </c>
    </row>
    <row r="51" spans="1:52" s="265" customFormat="1" ht="15.75" customHeight="1">
      <c r="A51" s="289"/>
      <c r="B51" s="3520" t="s">
        <v>769</v>
      </c>
      <c r="C51" s="3521"/>
      <c r="D51" s="3522"/>
      <c r="E51" s="3466" t="s">
        <v>7019</v>
      </c>
      <c r="F51" s="3467"/>
      <c r="G51" s="3467"/>
      <c r="H51" s="3468"/>
      <c r="I51" s="3469">
        <v>8499150</v>
      </c>
      <c r="J51" s="3469"/>
      <c r="L51" s="3525">
        <f>'Part IV-A-Uses of Funds'!$J$197*10*'Part IV-A-Uses of Funds'!$N$188</f>
        <v>8500000</v>
      </c>
      <c r="M51" s="3525"/>
      <c r="N51" s="3526">
        <f>I51-L51</f>
        <v>-850</v>
      </c>
      <c r="O51" s="3526"/>
      <c r="P51" s="391">
        <f>I51/I61</f>
        <v>0.53347178440356169</v>
      </c>
      <c r="Q51" s="359"/>
      <c r="S51" s="3479"/>
      <c r="T51" s="3480"/>
      <c r="Y51" s="1807" t="s">
        <v>6672</v>
      </c>
      <c r="Z51" s="1773">
        <v>51</v>
      </c>
      <c r="AZ51" s="2783" t="s">
        <v>6673</v>
      </c>
    </row>
    <row r="52" spans="1:52" s="265" customFormat="1" ht="15.75" customHeight="1">
      <c r="A52" s="289"/>
      <c r="B52" s="3520" t="s">
        <v>770</v>
      </c>
      <c r="C52" s="3521"/>
      <c r="D52" s="3522"/>
      <c r="E52" s="3466" t="s">
        <v>7019</v>
      </c>
      <c r="F52" s="3467"/>
      <c r="G52" s="3467"/>
      <c r="H52" s="3468"/>
      <c r="I52" s="3469">
        <v>5000000</v>
      </c>
      <c r="J52" s="3469"/>
      <c r="L52" s="3525">
        <f>'Part IV-A-Uses of Funds'!$J$197*10*'Part IV-A-Uses of Funds'!$Q$188</f>
        <v>5000000</v>
      </c>
      <c r="M52" s="3525"/>
      <c r="N52" s="3526">
        <f>I52-L52</f>
        <v>0</v>
      </c>
      <c r="O52" s="3526"/>
      <c r="P52" s="391">
        <f>I52/I61</f>
        <v>0.31383831583367849</v>
      </c>
      <c r="Q52" s="359"/>
      <c r="S52" s="3479"/>
      <c r="T52" s="3480"/>
      <c r="Y52" s="1807" t="s">
        <v>6673</v>
      </c>
      <c r="Z52" s="1773">
        <v>52</v>
      </c>
      <c r="AZ52" s="2783" t="s">
        <v>6674</v>
      </c>
    </row>
    <row r="53" spans="1:52" s="265" customFormat="1" ht="15.75" customHeight="1">
      <c r="A53" s="289"/>
      <c r="B53" s="3520" t="s">
        <v>1360</v>
      </c>
      <c r="C53" s="3521"/>
      <c r="D53" s="3522"/>
      <c r="E53" s="3466"/>
      <c r="F53" s="3467"/>
      <c r="G53" s="3467"/>
      <c r="H53" s="3468"/>
      <c r="I53" s="3469"/>
      <c r="J53" s="3469"/>
      <c r="P53" s="392">
        <f>SUM(P51:P52)</f>
        <v>0.84731010023724018</v>
      </c>
      <c r="Q53" s="359"/>
      <c r="S53" s="3481"/>
      <c r="T53" s="3482"/>
      <c r="Y53" s="1807" t="s">
        <v>6674</v>
      </c>
      <c r="Z53" s="1773">
        <v>53</v>
      </c>
      <c r="AZ53" s="2783"/>
    </row>
    <row r="54" spans="1:52" s="265" customFormat="1" ht="15.75" customHeight="1">
      <c r="A54" s="289"/>
      <c r="B54" s="2628" t="s">
        <v>506</v>
      </c>
      <c r="C54" s="2629"/>
      <c r="D54" s="2634"/>
      <c r="E54" s="3466"/>
      <c r="F54" s="3467"/>
      <c r="G54" s="3467"/>
      <c r="H54" s="3468"/>
      <c r="I54" s="3469"/>
      <c r="J54" s="3469"/>
      <c r="K54" s="289"/>
      <c r="Q54" s="359"/>
      <c r="S54" s="3479"/>
      <c r="T54" s="3480"/>
      <c r="Y54" s="1807"/>
      <c r="Z54" s="1773">
        <v>54</v>
      </c>
      <c r="AZ54" s="2783"/>
    </row>
    <row r="55" spans="1:52" s="265" customFormat="1" ht="15.75" customHeight="1">
      <c r="A55" s="289"/>
      <c r="B55" s="2628" t="s">
        <v>1782</v>
      </c>
      <c r="C55" s="2629"/>
      <c r="D55" s="2634"/>
      <c r="E55" s="3466"/>
      <c r="F55" s="3467"/>
      <c r="G55" s="3467"/>
      <c r="H55" s="3468"/>
      <c r="I55" s="3469"/>
      <c r="J55" s="3469"/>
      <c r="N55" s="360"/>
      <c r="O55" s="360"/>
      <c r="P55" s="360"/>
      <c r="Q55" s="359"/>
      <c r="S55" s="3479"/>
      <c r="T55" s="3480"/>
      <c r="Y55" s="1807"/>
      <c r="Z55" s="1773">
        <v>55</v>
      </c>
      <c r="AZ55" s="2783"/>
    </row>
    <row r="56" spans="1:52" s="265" customFormat="1" ht="15.75" customHeight="1">
      <c r="A56" s="289"/>
      <c r="B56" s="2628" t="s">
        <v>1783</v>
      </c>
      <c r="C56" s="2629"/>
      <c r="D56" s="2634"/>
      <c r="E56" s="3466"/>
      <c r="F56" s="3467"/>
      <c r="G56" s="3467"/>
      <c r="H56" s="3468"/>
      <c r="I56" s="3469"/>
      <c r="J56" s="3469"/>
      <c r="M56" s="360"/>
      <c r="N56" s="360"/>
      <c r="O56" s="360"/>
      <c r="P56" s="360"/>
      <c r="Q56" s="359"/>
      <c r="S56" s="3479"/>
      <c r="T56" s="3480"/>
      <c r="Y56" s="1807"/>
      <c r="Z56" s="1773">
        <v>56</v>
      </c>
      <c r="AZ56" s="2783" t="s">
        <v>6675</v>
      </c>
    </row>
    <row r="57" spans="1:52" s="265" customFormat="1" ht="15.75" customHeight="1">
      <c r="A57" s="289"/>
      <c r="B57" s="2628" t="s">
        <v>711</v>
      </c>
      <c r="C57" s="3494"/>
      <c r="D57" s="3494"/>
      <c r="E57" s="3466"/>
      <c r="F57" s="3467"/>
      <c r="G57" s="3467"/>
      <c r="H57" s="3468"/>
      <c r="I57" s="3469"/>
      <c r="J57" s="3469"/>
      <c r="M57" s="360"/>
      <c r="N57" s="360"/>
      <c r="O57" s="360"/>
      <c r="P57" s="360"/>
      <c r="Q57" s="359"/>
      <c r="S57" s="3479"/>
      <c r="T57" s="3480"/>
      <c r="Y57" s="1807" t="s">
        <v>6675</v>
      </c>
      <c r="Z57" s="1773">
        <v>57</v>
      </c>
      <c r="AZ57" s="2783" t="s">
        <v>6676</v>
      </c>
    </row>
    <row r="58" spans="1:52" s="265" customFormat="1" ht="15.75" customHeight="1">
      <c r="A58" s="289"/>
      <c r="B58" s="2628" t="s">
        <v>711</v>
      </c>
      <c r="C58" s="3495"/>
      <c r="D58" s="3495"/>
      <c r="E58" s="3466"/>
      <c r="F58" s="3467"/>
      <c r="G58" s="3467"/>
      <c r="H58" s="3468"/>
      <c r="I58" s="3469"/>
      <c r="J58" s="3469"/>
      <c r="K58" s="289"/>
      <c r="L58" s="361"/>
      <c r="M58" s="360"/>
      <c r="N58" s="360"/>
      <c r="O58" s="360"/>
      <c r="P58" s="360"/>
      <c r="Q58" s="359"/>
      <c r="S58" s="3479"/>
      <c r="T58" s="3480"/>
      <c r="Y58" s="1807" t="s">
        <v>6676</v>
      </c>
      <c r="Z58" s="1773">
        <v>58</v>
      </c>
      <c r="AZ58" s="2783" t="s">
        <v>6677</v>
      </c>
    </row>
    <row r="59" spans="1:52" s="265" customFormat="1" ht="15.75" customHeight="1">
      <c r="A59" s="289"/>
      <c r="B59" s="2631" t="s">
        <v>711</v>
      </c>
      <c r="C59" s="3483"/>
      <c r="D59" s="3483"/>
      <c r="E59" s="3484"/>
      <c r="F59" s="3485"/>
      <c r="G59" s="3485"/>
      <c r="H59" s="3486"/>
      <c r="I59" s="3487"/>
      <c r="J59" s="3487"/>
      <c r="K59" s="289"/>
      <c r="L59" s="361"/>
      <c r="M59" s="360"/>
      <c r="N59" s="360"/>
      <c r="O59" s="360"/>
      <c r="P59" s="360"/>
      <c r="Q59" s="359"/>
      <c r="S59" s="3479"/>
      <c r="T59" s="3480"/>
      <c r="Y59" s="1807" t="s">
        <v>6677</v>
      </c>
      <c r="Z59" s="1773">
        <v>59</v>
      </c>
      <c r="AZ59" s="2783"/>
    </row>
    <row r="60" spans="1:52" s="265" customFormat="1" ht="14.25" customHeight="1">
      <c r="A60" s="289"/>
      <c r="B60" s="2620" t="s">
        <v>2115</v>
      </c>
      <c r="C60" s="289"/>
      <c r="D60" s="289"/>
      <c r="E60" s="289"/>
      <c r="F60" s="289"/>
      <c r="G60" s="289"/>
      <c r="I60" s="3488">
        <f>SUM(I40:J45)+SUM(I49:J59)</f>
        <v>15931770</v>
      </c>
      <c r="J60" s="3489"/>
      <c r="K60" s="289"/>
      <c r="L60" s="361"/>
      <c r="M60" s="360"/>
      <c r="N60" s="360"/>
      <c r="O60" s="360"/>
      <c r="P60" s="360"/>
      <c r="Q60" s="359"/>
      <c r="S60" s="3479"/>
      <c r="T60" s="3480"/>
      <c r="Y60" s="1807"/>
      <c r="Z60" s="1773">
        <v>60</v>
      </c>
      <c r="AZ60" s="2783"/>
    </row>
    <row r="61" spans="1:52" s="265" customFormat="1" ht="14.25" customHeight="1" thickBot="1">
      <c r="A61" s="289"/>
      <c r="B61" s="2620" t="s">
        <v>2116</v>
      </c>
      <c r="C61" s="289"/>
      <c r="D61" s="289"/>
      <c r="E61" s="289"/>
      <c r="F61" s="289"/>
      <c r="G61" s="289"/>
      <c r="I61" s="3490">
        <f>'Part IV-A-Uses of Funds'!$G$146</f>
        <v>15931770.43</v>
      </c>
      <c r="J61" s="3491"/>
      <c r="K61" s="289"/>
      <c r="L61" s="361"/>
      <c r="M61" s="360"/>
      <c r="N61" s="360"/>
      <c r="O61" s="360"/>
      <c r="P61" s="360"/>
      <c r="Q61" s="359"/>
      <c r="S61" s="3479"/>
      <c r="T61" s="3480"/>
      <c r="Y61" s="1807"/>
      <c r="Z61" s="1773">
        <v>61</v>
      </c>
      <c r="AZ61" s="2783"/>
    </row>
    <row r="62" spans="1:52" s="265" customFormat="1" ht="14.25" customHeight="1" thickBot="1">
      <c r="A62" s="289"/>
      <c r="B62" s="2621" t="s">
        <v>1464</v>
      </c>
      <c r="C62" s="289"/>
      <c r="D62" s="289"/>
      <c r="E62" s="289"/>
      <c r="F62" s="289"/>
      <c r="G62" s="289"/>
      <c r="I62" s="3492">
        <f>I60-I61</f>
        <v>-0.42999999970197678</v>
      </c>
      <c r="J62" s="3493"/>
      <c r="K62" s="289"/>
      <c r="L62" s="361"/>
      <c r="M62" s="360"/>
      <c r="N62" s="360"/>
      <c r="O62" s="360"/>
      <c r="P62" s="360"/>
      <c r="Q62" s="359"/>
      <c r="S62" s="3481"/>
      <c r="T62" s="3482"/>
      <c r="Y62" s="1807"/>
      <c r="Z62" s="1773">
        <v>62</v>
      </c>
      <c r="AZ62" s="2783"/>
    </row>
    <row r="63" spans="1:52" s="265" customFormat="1" ht="13.35" customHeight="1">
      <c r="A63" s="289" t="s">
        <v>4146</v>
      </c>
      <c r="B63" s="2621"/>
      <c r="C63" s="289"/>
      <c r="D63" s="289"/>
      <c r="E63" s="289"/>
      <c r="F63" s="289"/>
      <c r="G63" s="289"/>
      <c r="H63" s="354"/>
      <c r="I63" s="354"/>
      <c r="J63" s="307"/>
      <c r="K63" s="289"/>
      <c r="L63" s="361"/>
      <c r="M63" s="360"/>
      <c r="N63" s="360"/>
      <c r="O63" s="360"/>
      <c r="P63" s="360"/>
      <c r="Q63" s="359"/>
      <c r="R63" s="359"/>
      <c r="S63" s="359"/>
      <c r="T63" s="359"/>
      <c r="Y63" s="1807"/>
      <c r="Z63" s="1773">
        <v>63</v>
      </c>
      <c r="AZ63" s="2787"/>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8"/>
    </row>
    <row r="66" spans="1:52" ht="111.75" customHeight="1">
      <c r="A66" s="3472"/>
      <c r="B66" s="3472"/>
      <c r="C66" s="3472"/>
      <c r="D66" s="3472"/>
      <c r="E66" s="3472"/>
      <c r="F66" s="3472"/>
      <c r="G66" s="3472"/>
      <c r="H66" s="3472"/>
      <c r="I66" s="3472"/>
      <c r="J66" s="3472"/>
      <c r="K66" s="3472"/>
      <c r="L66" s="3472"/>
      <c r="M66" s="3471"/>
      <c r="N66" s="3471"/>
      <c r="O66" s="3471"/>
      <c r="P66" s="3471"/>
      <c r="Q66" s="3471"/>
      <c r="S66" s="3470" t="s">
        <v>2542</v>
      </c>
      <c r="T66" s="3470"/>
      <c r="U66" s="446"/>
      <c r="V66" s="446"/>
      <c r="W66" s="446"/>
      <c r="Y66" s="2799"/>
      <c r="Z66" s="1773">
        <v>66</v>
      </c>
      <c r="AZ66" s="2798"/>
    </row>
    <row r="67" spans="1:52" ht="11.25" customHeight="1">
      <c r="S67" s="446"/>
      <c r="T67" s="446"/>
      <c r="U67" s="446"/>
      <c r="V67" s="446"/>
      <c r="W67" s="446"/>
      <c r="Y67" s="2799"/>
    </row>
    <row r="68" spans="1:52" ht="12" customHeight="1"/>
    <row r="69" spans="1:52" ht="12" customHeight="1">
      <c r="B69" s="334"/>
    </row>
    <row r="70" spans="1:52" ht="14.45" customHeight="1">
      <c r="AZ70" s="2783"/>
    </row>
    <row r="71" spans="1:52" s="265" customFormat="1" ht="14.45" customHeight="1">
      <c r="Y71" s="1807"/>
      <c r="Z71" s="1807"/>
      <c r="AZ71" s="2783"/>
    </row>
    <row r="72" spans="1:52" s="265" customFormat="1" ht="14.45" customHeight="1">
      <c r="Y72" s="1807"/>
      <c r="Z72" s="1807"/>
      <c r="AZ72" s="2783"/>
    </row>
    <row r="73" spans="1:52" s="265" customFormat="1" ht="14.45" customHeight="1">
      <c r="Y73" s="1807"/>
      <c r="Z73" s="1807"/>
      <c r="AZ73" s="2787"/>
    </row>
    <row r="74" spans="1:52" ht="14.45" customHeight="1">
      <c r="AZ74" s="2783"/>
    </row>
    <row r="75" spans="1:52" s="265" customFormat="1" ht="14.45" customHeight="1">
      <c r="A75" s="335"/>
      <c r="Y75" s="1807"/>
      <c r="Z75" s="1807"/>
      <c r="AZ75" s="2783"/>
    </row>
    <row r="76" spans="1:52" s="265" customFormat="1" ht="14.45" customHeight="1">
      <c r="A76" s="335"/>
      <c r="Y76" s="1807"/>
      <c r="Z76" s="1807"/>
      <c r="AZ76" s="2783"/>
    </row>
    <row r="77" spans="1:52" s="265" customFormat="1" ht="14.45" customHeight="1">
      <c r="Y77" s="1807"/>
      <c r="Z77" s="1807"/>
      <c r="AZ77" s="2783"/>
    </row>
    <row r="78" spans="1:52" s="265" customFormat="1" ht="14.45" customHeight="1">
      <c r="A78" s="335"/>
      <c r="Y78" s="1807"/>
      <c r="Z78" s="1807"/>
      <c r="AZ78" s="2783"/>
    </row>
    <row r="79" spans="1:52" s="265" customFormat="1" ht="14.45" customHeight="1">
      <c r="A79" s="333"/>
      <c r="Y79" s="1807"/>
      <c r="Z79" s="1807"/>
      <c r="AZ79" s="2783"/>
    </row>
    <row r="80" spans="1:52" s="265" customFormat="1" ht="14.45" customHeight="1">
      <c r="A80" s="333"/>
      <c r="Y80" s="1807"/>
      <c r="Z80" s="1807"/>
      <c r="AZ80" s="2783"/>
    </row>
    <row r="81" spans="1:52" s="265" customFormat="1" ht="14.45" customHeight="1">
      <c r="A81" s="336"/>
      <c r="Y81" s="1807"/>
      <c r="Z81" s="1807"/>
      <c r="AZ81" s="2783"/>
    </row>
    <row r="82" spans="1:52" s="265" customFormat="1" ht="14.45" customHeight="1">
      <c r="A82" s="335"/>
      <c r="Y82" s="1807"/>
      <c r="Z82" s="1807"/>
      <c r="AZ82" s="2783"/>
    </row>
    <row r="83" spans="1:52" s="265" customFormat="1" ht="14.45" customHeight="1">
      <c r="A83" s="333"/>
      <c r="Y83" s="1807"/>
      <c r="Z83" s="1807"/>
      <c r="AZ83" s="2783"/>
    </row>
    <row r="84" spans="1:52" s="265" customFormat="1" ht="14.45" customHeight="1">
      <c r="A84" s="333"/>
      <c r="Y84" s="1807"/>
      <c r="Z84" s="1807"/>
      <c r="AZ84" s="2783"/>
    </row>
    <row r="85" spans="1:52" s="265" customFormat="1" ht="14.45" customHeight="1">
      <c r="A85" s="336"/>
      <c r="Y85" s="1807"/>
      <c r="Z85" s="1807"/>
      <c r="AZ85" s="2783"/>
    </row>
    <row r="86" spans="1:52" s="265" customFormat="1" ht="14.45" customHeight="1">
      <c r="A86" s="335"/>
      <c r="Y86" s="1807"/>
      <c r="Z86" s="1807"/>
      <c r="AZ86" s="2783"/>
    </row>
    <row r="87" spans="1:52" s="265" customFormat="1" ht="14.45" customHeight="1">
      <c r="A87" s="333"/>
      <c r="Y87" s="1807"/>
      <c r="Z87" s="1807"/>
      <c r="AZ87" s="2783"/>
    </row>
    <row r="88" spans="1:52" s="265" customFormat="1" ht="14.45" customHeight="1">
      <c r="A88" s="333"/>
      <c r="Y88" s="1807"/>
      <c r="Z88" s="1807"/>
      <c r="AZ88" s="2783"/>
    </row>
    <row r="89" spans="1:52" s="265" customFormat="1" ht="14.45" customHeight="1">
      <c r="A89" s="336"/>
      <c r="Y89" s="1807"/>
      <c r="Z89" s="1807"/>
      <c r="AZ89" s="2783"/>
    </row>
    <row r="90" spans="1:52" s="265" customFormat="1" ht="14.45" customHeight="1">
      <c r="A90" s="336"/>
      <c r="Y90" s="1807"/>
      <c r="Z90" s="1807"/>
      <c r="AZ90" s="2783"/>
    </row>
    <row r="91" spans="1:52" s="265" customFormat="1" ht="14.45" customHeight="1">
      <c r="A91" s="336"/>
      <c r="Y91" s="1807"/>
      <c r="Z91" s="1807"/>
      <c r="AZ91" s="2783"/>
    </row>
    <row r="92" spans="1:52" s="265" customFormat="1" ht="14.45" customHeight="1">
      <c r="A92" s="336"/>
      <c r="Y92" s="1807"/>
      <c r="Z92" s="1807"/>
      <c r="AZ92" s="2783"/>
    </row>
    <row r="93" spans="1:52" s="265" customFormat="1" ht="14.45" customHeight="1">
      <c r="Y93" s="1807"/>
      <c r="Z93" s="1807"/>
      <c r="AZ93" s="2783"/>
    </row>
    <row r="94" spans="1:52" s="265" customFormat="1" ht="14.45" customHeight="1">
      <c r="Y94" s="1807"/>
      <c r="Z94" s="1807"/>
      <c r="AZ94" s="278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qEb3eOgRoer+XRYj3q887LWS+clzi3edxv+iXBqluWaA8fS3vQUMwb9FWs1F1kPf5XhDVb11SpIrL6Smr6j0LQ==" saltValue="AR6OO8SgOvNnl6Sd7gStZw=="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3" t="e">
        <f>CONCATENATE("PART III B: USD 538 LOAN","  -  ",#REF!," ",#REF!,", ",#REF!,", ",#REF!," County")</f>
        <v>#REF!</v>
      </c>
      <c r="B1" s="3594"/>
      <c r="C1" s="3594"/>
      <c r="D1" s="3594"/>
      <c r="E1" s="3594"/>
      <c r="F1" s="359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2" t="s">
        <v>209</v>
      </c>
      <c r="B3" s="3602"/>
      <c r="C3" s="3602"/>
      <c r="D3" s="3602"/>
      <c r="E3" s="3602"/>
      <c r="F3" s="3602"/>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3" t="s">
        <v>121</v>
      </c>
      <c r="B14" s="3603"/>
      <c r="C14" s="3603"/>
      <c r="D14" s="3603"/>
      <c r="E14" s="3603"/>
      <c r="F14" s="3603"/>
      <c r="G14" s="191"/>
      <c r="H14" s="191"/>
    </row>
    <row r="15" spans="1:17" ht="5.45" customHeight="1">
      <c r="A15" s="28"/>
      <c r="E15" s="202"/>
      <c r="F15" s="191"/>
      <c r="G15" s="191"/>
      <c r="H15" s="191"/>
    </row>
    <row r="16" spans="1:17" ht="13.35" customHeight="1">
      <c r="A16" s="204" t="s">
        <v>2368</v>
      </c>
      <c r="B16" s="205" t="s">
        <v>2365</v>
      </c>
      <c r="C16" s="205" t="s">
        <v>2366</v>
      </c>
      <c r="D16" s="3599" t="s">
        <v>2151</v>
      </c>
      <c r="E16" s="3599"/>
      <c r="F16" s="191"/>
      <c r="G16" s="191"/>
      <c r="H16" s="191"/>
    </row>
    <row r="17" spans="1:8" ht="12.6" customHeight="1">
      <c r="A17" s="80">
        <v>1</v>
      </c>
      <c r="B17" s="180">
        <f>IF(A17&gt;$C$9,0,SUM(C64:C75)*($C$6/$C$7))</f>
        <v>0</v>
      </c>
      <c r="C17" s="203">
        <f>IF(A17&gt;C9,0,(E63+K63)*$C$8)</f>
        <v>0</v>
      </c>
      <c r="D17" s="3604">
        <f t="shared" ref="D17:D56" si="0">IF(A17&gt;$C$9,0,$C$11+C17)</f>
        <v>0</v>
      </c>
      <c r="E17" s="3604"/>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8">
        <f t="shared" si="0"/>
        <v>0</v>
      </c>
      <c r="E37" s="3598"/>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8">
        <f t="shared" si="0"/>
        <v>0</v>
      </c>
      <c r="E42" s="3598"/>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8">
        <f t="shared" si="0"/>
        <v>0</v>
      </c>
      <c r="E47" s="3598"/>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8">
        <f t="shared" si="0"/>
        <v>0</v>
      </c>
      <c r="E52" s="3598"/>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600" t="e">
        <f>CONCATENATE(#REF!," ",#REF!,", ",#REF!,", ",#REF!," County")</f>
        <v>#REF!</v>
      </c>
      <c r="B58" s="3600"/>
      <c r="C58" s="3600"/>
      <c r="D58" s="3600"/>
      <c r="E58" s="3600"/>
      <c r="F58" s="3600"/>
      <c r="G58" s="3600" t="e">
        <f>CONCATENATE(#REF!," ",#REF!,", ",#REF!,", ",#REF!," County")</f>
        <v>#REF!</v>
      </c>
      <c r="H58" s="3600"/>
      <c r="I58" s="3600"/>
      <c r="J58" s="3600"/>
      <c r="K58" s="3600"/>
      <c r="L58" s="3600"/>
    </row>
    <row r="59" spans="1:12" ht="15">
      <c r="A59" s="3601" t="s">
        <v>2359</v>
      </c>
      <c r="B59" s="3601"/>
      <c r="C59" s="3601"/>
      <c r="D59" s="3601"/>
      <c r="E59" s="3601"/>
      <c r="F59" s="3601"/>
      <c r="G59" s="3601" t="s">
        <v>2359</v>
      </c>
      <c r="H59" s="3601"/>
      <c r="I59" s="3601"/>
      <c r="J59" s="3601"/>
      <c r="K59" s="3601"/>
      <c r="L59" s="3601"/>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3" t="e">
        <f>CONCATENATE("PART III C  - HUD INSURED LOAN","  -  ",#REF!," ",#REF!,", ",#REF!,", ",#REF!," County")</f>
        <v>#REF!</v>
      </c>
      <c r="B1" s="3594"/>
      <c r="C1" s="3594"/>
      <c r="D1" s="3594"/>
      <c r="E1" s="3594"/>
      <c r="F1" s="3595"/>
      <c r="G1" s="160"/>
      <c r="H1" s="160"/>
      <c r="I1" s="160"/>
      <c r="J1" s="160"/>
      <c r="K1" s="160"/>
      <c r="L1" s="160"/>
      <c r="M1" s="160"/>
      <c r="N1" s="160"/>
      <c r="O1" s="160"/>
      <c r="P1" s="160"/>
      <c r="Q1" s="160"/>
    </row>
    <row r="2" spans="1:17">
      <c r="A2" s="13"/>
      <c r="B2" s="179"/>
      <c r="C2" s="179"/>
      <c r="D2" s="179"/>
    </row>
    <row r="3" spans="1:17" ht="15.6" customHeight="1">
      <c r="A3" s="3602" t="s">
        <v>209</v>
      </c>
      <c r="B3" s="3602"/>
      <c r="C3" s="3602"/>
      <c r="D3" s="3602"/>
      <c r="E3" s="3602"/>
      <c r="F3" s="3602"/>
      <c r="G3" s="222"/>
      <c r="H3" s="222"/>
    </row>
    <row r="4" spans="1:17">
      <c r="A4" s="13"/>
      <c r="B4" s="179"/>
      <c r="C4" s="179"/>
      <c r="D4" s="179"/>
    </row>
    <row r="5" spans="1:17" ht="13.35" customHeight="1">
      <c r="A5" s="27" t="s">
        <v>2152</v>
      </c>
      <c r="D5" s="217"/>
      <c r="E5" s="3605" t="s">
        <v>920</v>
      </c>
      <c r="F5" s="3606"/>
      <c r="G5" s="158"/>
    </row>
    <row r="6" spans="1:17">
      <c r="E6" s="3606"/>
      <c r="F6" s="3606"/>
      <c r="G6" s="158"/>
    </row>
    <row r="7" spans="1:17">
      <c r="A7" s="27" t="s">
        <v>2351</v>
      </c>
      <c r="C7" s="27" t="s">
        <v>2352</v>
      </c>
      <c r="D7" s="218"/>
      <c r="E7" s="3606"/>
      <c r="F7" s="3606"/>
      <c r="G7" s="158"/>
    </row>
    <row r="8" spans="1:17">
      <c r="C8" s="27" t="s">
        <v>2353</v>
      </c>
      <c r="D8" s="218"/>
      <c r="E8" s="3606"/>
      <c r="F8" s="3606"/>
      <c r="G8" s="158"/>
    </row>
    <row r="9" spans="1:17">
      <c r="C9" s="27" t="s">
        <v>2354</v>
      </c>
      <c r="D9" s="218"/>
      <c r="E9" s="3606"/>
      <c r="F9" s="3606"/>
      <c r="G9" s="158"/>
    </row>
    <row r="10" spans="1:17">
      <c r="C10" s="27" t="s">
        <v>2367</v>
      </c>
      <c r="D10" s="223">
        <f>D7+D8+D9</f>
        <v>0</v>
      </c>
      <c r="E10" s="3606"/>
      <c r="F10" s="3606"/>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3" t="s">
        <v>1640</v>
      </c>
      <c r="B24" s="3603"/>
      <c r="C24" s="3603"/>
      <c r="D24" s="3603"/>
      <c r="E24" s="3603"/>
      <c r="F24" s="3603"/>
      <c r="J24" s="226"/>
    </row>
    <row r="25" spans="1:10">
      <c r="C25" s="189"/>
      <c r="J25" s="226"/>
    </row>
    <row r="26" spans="1:10">
      <c r="A26" s="103"/>
      <c r="B26" s="80"/>
      <c r="C26" s="3607" t="s">
        <v>2151</v>
      </c>
      <c r="D26" s="221"/>
      <c r="E26" s="80"/>
      <c r="F26" s="3607" t="s">
        <v>2151</v>
      </c>
      <c r="J26" s="226"/>
    </row>
    <row r="27" spans="1:10">
      <c r="A27" s="227" t="s">
        <v>2368</v>
      </c>
      <c r="B27" s="71" t="s">
        <v>987</v>
      </c>
      <c r="C27" s="3608"/>
      <c r="D27" s="228" t="s">
        <v>2368</v>
      </c>
      <c r="E27" s="71" t="s">
        <v>987</v>
      </c>
      <c r="F27" s="3608"/>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0" t="e">
        <f>CONCATENATE(#REF!," ",#REF!,", ",#REF!,", ",#REF!," County")</f>
        <v>#REF!</v>
      </c>
      <c r="B50" s="3600"/>
      <c r="C50" s="3600"/>
      <c r="D50" s="3600"/>
      <c r="E50" s="3600"/>
      <c r="F50" s="3600"/>
      <c r="G50" s="212"/>
      <c r="H50" s="212"/>
    </row>
    <row r="51" spans="1:10" ht="15">
      <c r="A51" s="3601" t="s">
        <v>2359</v>
      </c>
      <c r="B51" s="3601"/>
      <c r="C51" s="3601"/>
      <c r="D51" s="3601"/>
      <c r="E51" s="3601"/>
      <c r="F51" s="3601"/>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82" zoomScale="115" zoomScaleNormal="115" workbookViewId="0">
      <selection activeCell="A18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46" t="str">
        <f>CONCATENATE("PART FOUR (A):  USES OF FUNDS","  -  ",'Part I-Project Information'!$O$7," ",'Part I-Project Information'!$F$35,", ",'Part I-Project Information'!F39,", ",'Part I-Project Information'!J40," County")</f>
        <v>PART FOUR (A):  USES OF FUNDS  -  2021-041 Hunters Haven, Flemington, Liberty County</v>
      </c>
      <c r="B2" s="3747"/>
      <c r="C2" s="3747"/>
      <c r="D2" s="3747"/>
      <c r="E2" s="3747"/>
      <c r="F2" s="3747"/>
      <c r="G2" s="3747"/>
      <c r="H2" s="3747"/>
      <c r="I2" s="3747"/>
      <c r="J2" s="3747"/>
      <c r="K2" s="3747"/>
      <c r="L2" s="3747"/>
      <c r="M2" s="3747"/>
      <c r="N2" s="3747"/>
      <c r="O2" s="3747"/>
      <c r="P2" s="3747"/>
      <c r="Q2" s="3747"/>
      <c r="R2" s="3747"/>
      <c r="S2" s="3747"/>
      <c r="T2" s="3747"/>
      <c r="W2" s="3748" t="str">
        <f>A2</f>
        <v>PART FOUR (A):  USES OF FUNDS  -  2021-041 Hunters Haven, Flemington, Liberty County</v>
      </c>
      <c r="X2" s="3748"/>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4" t="str">
        <f>'Part I-Project Information'!$B$7</f>
        <v>2021 Core Application</v>
      </c>
      <c r="E6" s="3634"/>
      <c r="F6" s="3634"/>
      <c r="G6" s="3634"/>
      <c r="H6" s="3634"/>
      <c r="I6" s="455"/>
      <c r="J6" s="3690" t="s">
        <v>260</v>
      </c>
      <c r="K6" s="3691"/>
      <c r="L6" s="337"/>
      <c r="M6" s="3716" t="s">
        <v>468</v>
      </c>
      <c r="N6" s="3717"/>
      <c r="P6" s="3690" t="s">
        <v>261</v>
      </c>
      <c r="Q6" s="3691"/>
      <c r="S6" s="3690" t="s">
        <v>262</v>
      </c>
      <c r="T6" s="3691"/>
      <c r="V6" s="411" t="str">
        <f>B6</f>
        <v>DEVELOPMENT BUDGET</v>
      </c>
      <c r="AZ6" s="1808"/>
      <c r="BA6" s="1773">
        <v>6</v>
      </c>
    </row>
    <row r="7" spans="1:53" s="289" customFormat="1" ht="19.5" customHeight="1" thickBot="1">
      <c r="D7" s="1311"/>
      <c r="E7" s="1311"/>
      <c r="F7" s="1311"/>
      <c r="G7" s="3720" t="s">
        <v>94</v>
      </c>
      <c r="H7" s="3721"/>
      <c r="J7" s="3692"/>
      <c r="K7" s="3693"/>
      <c r="L7" s="337"/>
      <c r="M7" s="3718"/>
      <c r="N7" s="3719"/>
      <c r="P7" s="3692"/>
      <c r="Q7" s="3693"/>
      <c r="S7" s="3692"/>
      <c r="T7" s="3693"/>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3">
        <v>15000</v>
      </c>
      <c r="H9" s="3554"/>
      <c r="J9" s="3553">
        <v>15000</v>
      </c>
      <c r="K9" s="3554"/>
      <c r="L9" s="2645"/>
      <c r="M9" s="3553"/>
      <c r="N9" s="3554"/>
      <c r="P9" s="3553"/>
      <c r="Q9" s="3554"/>
      <c r="S9" s="3553"/>
      <c r="T9" s="3554"/>
      <c r="V9" s="2800"/>
      <c r="W9" s="3628"/>
      <c r="X9" s="3629"/>
      <c r="AZ9" s="1808"/>
      <c r="BA9" s="1773">
        <v>9</v>
      </c>
    </row>
    <row r="10" spans="1:53" s="289" customFormat="1" ht="11.25" customHeight="1">
      <c r="B10" s="289" t="s">
        <v>437</v>
      </c>
      <c r="G10" s="3541">
        <v>10000</v>
      </c>
      <c r="H10" s="3542"/>
      <c r="J10" s="3541">
        <v>10000</v>
      </c>
      <c r="K10" s="3542"/>
      <c r="L10" s="2645"/>
      <c r="M10" s="3541"/>
      <c r="N10" s="3542"/>
      <c r="P10" s="3541"/>
      <c r="Q10" s="3542"/>
      <c r="S10" s="3541"/>
      <c r="T10" s="3542"/>
      <c r="V10" s="2800"/>
      <c r="W10" s="3628"/>
      <c r="X10" s="3629"/>
      <c r="AZ10" s="1808"/>
      <c r="BA10" s="1773">
        <v>10</v>
      </c>
    </row>
    <row r="11" spans="1:53" s="289" customFormat="1" ht="11.25" customHeight="1">
      <c r="B11" s="289" t="s">
        <v>466</v>
      </c>
      <c r="G11" s="3541">
        <v>36000</v>
      </c>
      <c r="H11" s="3542"/>
      <c r="J11" s="3541">
        <v>36000</v>
      </c>
      <c r="K11" s="3542"/>
      <c r="L11" s="2645"/>
      <c r="M11" s="3541"/>
      <c r="N11" s="3542"/>
      <c r="P11" s="3541"/>
      <c r="Q11" s="3542"/>
      <c r="S11" s="3541"/>
      <c r="T11" s="3542"/>
      <c r="V11" s="2800"/>
      <c r="W11" s="3628"/>
      <c r="X11" s="3629"/>
      <c r="AZ11" s="1808"/>
      <c r="BA11" s="1773">
        <v>11</v>
      </c>
    </row>
    <row r="12" spans="1:53" s="289" customFormat="1" ht="11.25" customHeight="1">
      <c r="B12" s="289" t="s">
        <v>467</v>
      </c>
      <c r="G12" s="3541">
        <v>15000</v>
      </c>
      <c r="H12" s="3542"/>
      <c r="J12" s="3541">
        <v>15000</v>
      </c>
      <c r="K12" s="3542"/>
      <c r="L12" s="2645"/>
      <c r="M12" s="3541"/>
      <c r="N12" s="3542"/>
      <c r="P12" s="3541"/>
      <c r="Q12" s="3542"/>
      <c r="S12" s="3541"/>
      <c r="T12" s="3542"/>
      <c r="V12" s="2800"/>
      <c r="W12" s="3628"/>
      <c r="X12" s="3629"/>
      <c r="AZ12" s="1808"/>
      <c r="BA12" s="1773">
        <v>12</v>
      </c>
    </row>
    <row r="13" spans="1:53" s="289" customFormat="1" ht="11.25" customHeight="1">
      <c r="B13" s="289" t="s">
        <v>2385</v>
      </c>
      <c r="G13" s="3541">
        <v>7000</v>
      </c>
      <c r="H13" s="3542"/>
      <c r="J13" s="3541">
        <v>7000</v>
      </c>
      <c r="K13" s="3542"/>
      <c r="L13" s="2645"/>
      <c r="M13" s="3541"/>
      <c r="N13" s="3542"/>
      <c r="P13" s="3541"/>
      <c r="Q13" s="3542"/>
      <c r="S13" s="3541"/>
      <c r="T13" s="3542"/>
      <c r="V13" s="2800"/>
      <c r="W13" s="3628"/>
      <c r="X13" s="3629"/>
      <c r="AZ13" s="1808"/>
      <c r="BA13" s="1773">
        <v>13</v>
      </c>
    </row>
    <row r="14" spans="1:53" s="289" customFormat="1" ht="11.25" customHeight="1">
      <c r="B14" s="289" t="s">
        <v>182</v>
      </c>
      <c r="G14" s="3541"/>
      <c r="H14" s="3542"/>
      <c r="J14" s="3541"/>
      <c r="K14" s="3542"/>
      <c r="L14" s="2645"/>
      <c r="M14" s="3541"/>
      <c r="N14" s="3542"/>
      <c r="P14" s="3541"/>
      <c r="Q14" s="3542"/>
      <c r="S14" s="3541"/>
      <c r="T14" s="3542"/>
      <c r="V14" s="2800"/>
      <c r="W14" s="3628"/>
      <c r="X14" s="3629"/>
      <c r="AZ14" s="1808"/>
      <c r="BA14" s="1773">
        <v>14</v>
      </c>
    </row>
    <row r="15" spans="1:53" s="289" customFormat="1" ht="11.25" customHeight="1">
      <c r="A15" s="363" t="str">
        <f>IF(AND(G15&gt;0,OR(C15="",C15="&lt;Enter detailed description here; use Comments section if needed&gt;")),"X","")</f>
        <v/>
      </c>
      <c r="B15" s="170" t="s">
        <v>6577</v>
      </c>
      <c r="C15" s="3705" t="s">
        <v>3342</v>
      </c>
      <c r="D15" s="3705"/>
      <c r="E15" s="3705"/>
      <c r="F15" s="3706"/>
      <c r="G15" s="3541"/>
      <c r="H15" s="3542"/>
      <c r="J15" s="3541"/>
      <c r="K15" s="3542"/>
      <c r="L15" s="2645"/>
      <c r="M15" s="3541"/>
      <c r="N15" s="3542"/>
      <c r="P15" s="3541"/>
      <c r="Q15" s="3542"/>
      <c r="S15" s="3541"/>
      <c r="T15" s="3542"/>
      <c r="U15" s="362" t="str">
        <f>IF(AND(G15&gt;0,OR(C15="",C15="&lt;Enter detailed description here; use Comments section if needed&gt;")),"NO DESCRIPTION PROVIDED - please enter detailed description in Other box at left; use Comments section below if needed.","")</f>
        <v/>
      </c>
      <c r="V15" s="2801"/>
      <c r="W15" s="3628"/>
      <c r="X15" s="3629"/>
      <c r="AZ15" s="1808" t="s">
        <v>6678</v>
      </c>
      <c r="BA15" s="1773">
        <v>15</v>
      </c>
    </row>
    <row r="16" spans="1:53" s="289" customFormat="1" ht="11.25" customHeight="1">
      <c r="A16" s="363" t="str">
        <f>IF(AND(G16&gt;0,OR(C16="",C16="&lt;Enter detailed description here; use Comments section if needed&gt;")),"X","")</f>
        <v/>
      </c>
      <c r="B16" s="170" t="s">
        <v>6578</v>
      </c>
      <c r="C16" s="3705" t="s">
        <v>3342</v>
      </c>
      <c r="D16" s="3705"/>
      <c r="E16" s="3705"/>
      <c r="F16" s="3706"/>
      <c r="G16" s="3541"/>
      <c r="H16" s="3542"/>
      <c r="J16" s="3541"/>
      <c r="K16" s="3542"/>
      <c r="L16" s="2645"/>
      <c r="M16" s="3541"/>
      <c r="N16" s="3542"/>
      <c r="P16" s="3541"/>
      <c r="Q16" s="3542"/>
      <c r="S16" s="3541"/>
      <c r="T16" s="3542"/>
      <c r="U16" s="362" t="str">
        <f>IF(AND(G16&gt;0,OR(C16="",C16="&lt;Enter detailed description here; use Comments section if needed&gt;")),"NO DESCRIPTION PROVIDED - please enter detailed description in Other box at left; use Comments section below if needed.","")</f>
        <v/>
      </c>
      <c r="V16" s="2801"/>
      <c r="W16" s="3628"/>
      <c r="X16" s="3629"/>
      <c r="AZ16" s="1808" t="s">
        <v>6679</v>
      </c>
      <c r="BA16" s="1773">
        <v>16</v>
      </c>
    </row>
    <row r="17" spans="1:53" s="289" customFormat="1" ht="11.25" customHeight="1" thickBot="1">
      <c r="A17" s="363" t="str">
        <f>IF(AND(G17&gt;0,OR(C17="",C17="&lt;Enter detailed description here; use Comments section if needed&gt;")),"X","")</f>
        <v/>
      </c>
      <c r="B17" s="170" t="s">
        <v>6579</v>
      </c>
      <c r="C17" s="3705" t="s">
        <v>3342</v>
      </c>
      <c r="D17" s="3705"/>
      <c r="E17" s="3705"/>
      <c r="F17" s="3706"/>
      <c r="G17" s="3710"/>
      <c r="H17" s="3711"/>
      <c r="J17" s="3710"/>
      <c r="K17" s="3711"/>
      <c r="L17" s="2645"/>
      <c r="M17" s="3710"/>
      <c r="N17" s="3711"/>
      <c r="P17" s="3710"/>
      <c r="Q17" s="3711"/>
      <c r="S17" s="3710"/>
      <c r="T17" s="3711"/>
      <c r="U17" s="362" t="str">
        <f>IF(AND(G17&gt;0,OR(C17="",C17="&lt;Enter detailed description here; use Comments section if needed&gt;")),"NO DESCRIPTION PROVIDED - please enter detailed description in Other box at left; use Comments section below if needed.","")</f>
        <v/>
      </c>
      <c r="V17" s="2801"/>
      <c r="W17" s="3630"/>
      <c r="X17" s="3631"/>
      <c r="AZ17" s="1808" t="s">
        <v>6680</v>
      </c>
      <c r="BA17" s="1773">
        <v>17</v>
      </c>
    </row>
    <row r="18" spans="1:53" s="289" customFormat="1" ht="12.6" customHeight="1" thickTop="1">
      <c r="F18" s="338" t="s">
        <v>183</v>
      </c>
      <c r="G18" s="3707">
        <f>SUM(G9:G17)</f>
        <v>83000</v>
      </c>
      <c r="H18" s="3708"/>
      <c r="J18" s="3707">
        <f>SUM(J9:J17)</f>
        <v>83000</v>
      </c>
      <c r="K18" s="3708"/>
      <c r="L18" s="2645"/>
      <c r="M18" s="3707">
        <f>SUM(M9:M17)</f>
        <v>0</v>
      </c>
      <c r="N18" s="3708"/>
      <c r="P18" s="3707">
        <f>SUM(P9:P17)</f>
        <v>0</v>
      </c>
      <c r="Q18" s="3708"/>
      <c r="S18" s="3707">
        <f>SUM(S9:S17)</f>
        <v>0</v>
      </c>
      <c r="T18" s="3708"/>
      <c r="V18" s="2802">
        <f>SUM(V9:V17)</f>
        <v>0</v>
      </c>
      <c r="W18" s="3646"/>
      <c r="X18" s="3647"/>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90000</v>
      </c>
      <c r="G20" s="3553">
        <v>900000</v>
      </c>
      <c r="H20" s="3554"/>
      <c r="J20" s="340"/>
      <c r="K20" s="337"/>
      <c r="L20" s="340"/>
      <c r="M20" s="340"/>
      <c r="N20" s="337"/>
      <c r="P20" s="340"/>
      <c r="Q20" s="337"/>
      <c r="S20" s="3553">
        <v>900000</v>
      </c>
      <c r="T20" s="3554"/>
      <c r="V20" s="2800"/>
      <c r="W20" s="3628"/>
      <c r="X20" s="3629"/>
      <c r="AZ20" s="1808"/>
      <c r="BA20" s="1773">
        <v>20</v>
      </c>
    </row>
    <row r="21" spans="1:53" s="289" customFormat="1" ht="11.25" customHeight="1">
      <c r="B21" s="289" t="s">
        <v>1079</v>
      </c>
      <c r="G21" s="3541"/>
      <c r="H21" s="3542"/>
      <c r="J21" s="340"/>
      <c r="K21" s="337"/>
      <c r="L21" s="340"/>
      <c r="M21" s="340"/>
      <c r="N21" s="337"/>
      <c r="P21" s="340"/>
      <c r="Q21" s="337"/>
      <c r="S21" s="3541"/>
      <c r="T21" s="3542"/>
      <c r="V21" s="2800"/>
      <c r="W21" s="3628"/>
      <c r="X21" s="3629"/>
      <c r="AZ21" s="1808"/>
      <c r="BA21" s="1773">
        <v>21</v>
      </c>
    </row>
    <row r="22" spans="1:53" s="289" customFormat="1" ht="11.25" customHeight="1">
      <c r="B22" s="289" t="s">
        <v>438</v>
      </c>
      <c r="G22" s="3541"/>
      <c r="H22" s="3542"/>
      <c r="J22" s="340"/>
      <c r="K22" s="337"/>
      <c r="L22" s="340"/>
      <c r="M22" s="3553"/>
      <c r="N22" s="3554"/>
      <c r="P22" s="340"/>
      <c r="Q22" s="337"/>
      <c r="S22" s="3541"/>
      <c r="T22" s="3542"/>
      <c r="V22" s="2800"/>
      <c r="W22" s="3628"/>
      <c r="X22" s="3629"/>
      <c r="AZ22" s="1808"/>
      <c r="BA22" s="1773">
        <v>22</v>
      </c>
    </row>
    <row r="23" spans="1:53" s="289" customFormat="1" ht="11.25" customHeight="1" thickBot="1">
      <c r="B23" s="289" t="s">
        <v>411</v>
      </c>
      <c r="G23" s="3710"/>
      <c r="H23" s="3711"/>
      <c r="J23" s="340"/>
      <c r="K23" s="337"/>
      <c r="L23" s="340"/>
      <c r="M23" s="3710"/>
      <c r="N23" s="3711"/>
      <c r="P23" s="340"/>
      <c r="Q23" s="337"/>
      <c r="S23" s="3710"/>
      <c r="T23" s="3711"/>
      <c r="V23" s="2800"/>
      <c r="W23" s="3630"/>
      <c r="X23" s="3631"/>
      <c r="AZ23" s="1808"/>
      <c r="BA23" s="1773">
        <v>23</v>
      </c>
    </row>
    <row r="24" spans="1:53" s="289" customFormat="1" ht="12.6" customHeight="1" thickTop="1">
      <c r="F24" s="338" t="s">
        <v>183</v>
      </c>
      <c r="G24" s="3707">
        <f>SUM(G20:G23)</f>
        <v>900000</v>
      </c>
      <c r="H24" s="3708"/>
      <c r="J24" s="340"/>
      <c r="K24" s="337"/>
      <c r="L24" s="340"/>
      <c r="M24" s="3707">
        <f>SUM(M22:M23)</f>
        <v>0</v>
      </c>
      <c r="N24" s="3708"/>
      <c r="P24" s="340"/>
      <c r="Q24" s="337"/>
      <c r="S24" s="3707">
        <f>SUM(S20:S23)</f>
        <v>900000</v>
      </c>
      <c r="T24" s="3708"/>
      <c r="V24" s="2802">
        <f>SUM(V20:V23)</f>
        <v>0</v>
      </c>
      <c r="W24" s="3646"/>
      <c r="X24" s="3647"/>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20000</v>
      </c>
      <c r="G26" s="3553">
        <v>200000</v>
      </c>
      <c r="H26" s="3554"/>
      <c r="J26" s="3553">
        <v>100000</v>
      </c>
      <c r="K26" s="3554"/>
      <c r="L26" s="2645"/>
      <c r="M26" s="3739"/>
      <c r="N26" s="3740"/>
      <c r="P26" s="3739"/>
      <c r="Q26" s="3740"/>
      <c r="S26" s="3553">
        <v>100000</v>
      </c>
      <c r="T26" s="3554"/>
      <c r="V26" s="2800"/>
      <c r="W26" s="3628"/>
      <c r="X26" s="3629"/>
      <c r="AZ26" s="1808"/>
      <c r="BA26" s="1773">
        <v>26</v>
      </c>
    </row>
    <row r="27" spans="1:53" s="289" customFormat="1" ht="11.25" customHeight="1" thickBot="1">
      <c r="B27" s="289" t="s">
        <v>1082</v>
      </c>
      <c r="G27" s="3710"/>
      <c r="H27" s="3711"/>
      <c r="J27" s="3710"/>
      <c r="K27" s="3711"/>
      <c r="L27" s="341"/>
      <c r="M27" s="3738"/>
      <c r="N27" s="3738"/>
      <c r="P27" s="3738"/>
      <c r="Q27" s="3738"/>
      <c r="S27" s="3710"/>
      <c r="T27" s="3711"/>
      <c r="V27" s="2800"/>
      <c r="W27" s="3630"/>
      <c r="X27" s="3631"/>
      <c r="AZ27" s="1808"/>
      <c r="BA27" s="1773">
        <v>27</v>
      </c>
    </row>
    <row r="28" spans="1:53" s="289" customFormat="1" ht="12.6" customHeight="1" thickTop="1">
      <c r="F28" s="338" t="s">
        <v>183</v>
      </c>
      <c r="G28" s="3707">
        <f>SUM(G26:G27)</f>
        <v>200000</v>
      </c>
      <c r="H28" s="3708"/>
      <c r="J28" s="3707">
        <f>SUM(J26:J27)</f>
        <v>100000</v>
      </c>
      <c r="K28" s="3708"/>
      <c r="L28" s="340"/>
      <c r="M28" s="3707">
        <f>M26</f>
        <v>0</v>
      </c>
      <c r="N28" s="3708"/>
      <c r="P28" s="3707">
        <f>P26</f>
        <v>0</v>
      </c>
      <c r="Q28" s="3708"/>
      <c r="S28" s="3707">
        <f>SUM(S26:S27)</f>
        <v>100000</v>
      </c>
      <c r="T28" s="3708"/>
      <c r="V28" s="2802">
        <f>SUM(V26:V27)</f>
        <v>0</v>
      </c>
      <c r="W28" s="3646"/>
      <c r="X28" s="3647"/>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3">
        <v>8906752</v>
      </c>
      <c r="H30" s="3554"/>
      <c r="J30" s="3553">
        <v>8906752</v>
      </c>
      <c r="K30" s="3554"/>
      <c r="L30" s="2645"/>
      <c r="M30" s="3553"/>
      <c r="N30" s="3554"/>
      <c r="P30" s="3553"/>
      <c r="Q30" s="3554"/>
      <c r="S30" s="3553"/>
      <c r="T30" s="3554"/>
      <c r="V30" s="2800"/>
      <c r="W30" s="3628"/>
      <c r="X30" s="3629"/>
      <c r="AZ30" s="1808"/>
      <c r="BA30" s="1773">
        <v>30</v>
      </c>
    </row>
    <row r="31" spans="1:53" s="289" customFormat="1" ht="11.25" customHeight="1">
      <c r="B31" s="289" t="s">
        <v>1085</v>
      </c>
      <c r="G31" s="3541"/>
      <c r="H31" s="3542"/>
      <c r="J31" s="3541"/>
      <c r="K31" s="3542"/>
      <c r="L31" s="2645"/>
      <c r="M31" s="3541"/>
      <c r="N31" s="3542"/>
      <c r="P31" s="3541"/>
      <c r="Q31" s="3542"/>
      <c r="S31" s="3541"/>
      <c r="T31" s="3542"/>
      <c r="V31" s="2800"/>
      <c r="W31" s="3628"/>
      <c r="X31" s="3629"/>
      <c r="AZ31" s="1808"/>
      <c r="BA31" s="1773">
        <v>31</v>
      </c>
    </row>
    <row r="32" spans="1:53" s="289" customFormat="1" ht="11.25" customHeight="1">
      <c r="B32" s="289" t="s">
        <v>6300</v>
      </c>
      <c r="G32" s="3541"/>
      <c r="H32" s="3542"/>
      <c r="J32" s="3541"/>
      <c r="K32" s="3542"/>
      <c r="L32" s="2645"/>
      <c r="M32" s="3541"/>
      <c r="N32" s="3542"/>
      <c r="P32" s="3541"/>
      <c r="Q32" s="3542"/>
      <c r="S32" s="3541"/>
      <c r="T32" s="3542"/>
      <c r="V32" s="2800"/>
      <c r="W32" s="3628"/>
      <c r="X32" s="3629"/>
      <c r="AZ32" s="1808"/>
      <c r="BA32" s="1773">
        <v>32</v>
      </c>
    </row>
    <row r="33" spans="1:53" s="289" customFormat="1" ht="11.25" customHeight="1">
      <c r="B33" s="289" t="s">
        <v>6298</v>
      </c>
      <c r="G33" s="3541"/>
      <c r="H33" s="3542"/>
      <c r="J33" s="3541"/>
      <c r="K33" s="3542"/>
      <c r="L33" s="2645"/>
      <c r="M33" s="3541"/>
      <c r="N33" s="3542"/>
      <c r="P33" s="3541"/>
      <c r="Q33" s="3542"/>
      <c r="S33" s="3541"/>
      <c r="T33" s="3542"/>
      <c r="V33" s="2800"/>
      <c r="W33" s="3628"/>
      <c r="X33" s="3629"/>
      <c r="AZ33" s="1808"/>
      <c r="BA33" s="1773">
        <v>33</v>
      </c>
    </row>
    <row r="34" spans="1:53" ht="11.25" customHeight="1">
      <c r="B34" s="289" t="s">
        <v>2604</v>
      </c>
      <c r="G34" s="3541"/>
      <c r="H34" s="3542"/>
      <c r="I34" s="289"/>
      <c r="J34" s="3541"/>
      <c r="K34" s="3542"/>
      <c r="L34" s="2645"/>
      <c r="M34" s="3541"/>
      <c r="N34" s="3542"/>
      <c r="O34" s="289"/>
      <c r="P34" s="3541"/>
      <c r="Q34" s="3542"/>
      <c r="R34" s="289"/>
      <c r="S34" s="3541"/>
      <c r="T34" s="3542"/>
      <c r="V34" s="2800"/>
      <c r="W34" s="3630"/>
      <c r="X34" s="3631"/>
      <c r="BA34" s="1773">
        <v>34</v>
      </c>
    </row>
    <row r="35" spans="1:53" ht="11.25" customHeight="1" thickBot="1">
      <c r="B35" s="289" t="s">
        <v>6299</v>
      </c>
      <c r="G35" s="3736"/>
      <c r="H35" s="3737"/>
      <c r="I35" s="289"/>
      <c r="J35" s="3736"/>
      <c r="K35" s="3737"/>
      <c r="L35" s="2645"/>
      <c r="M35" s="3736"/>
      <c r="N35" s="3737"/>
      <c r="O35" s="289"/>
      <c r="P35" s="3736"/>
      <c r="Q35" s="3737"/>
      <c r="R35" s="289"/>
      <c r="S35" s="3736"/>
      <c r="T35" s="3737"/>
      <c r="V35" s="2800"/>
      <c r="W35" s="3630"/>
      <c r="X35" s="3631"/>
      <c r="BA35" s="1773">
        <v>35</v>
      </c>
    </row>
    <row r="36" spans="1:53" s="289" customFormat="1" ht="12.6" customHeight="1" thickTop="1">
      <c r="C36" s="3735"/>
      <c r="D36" s="3735"/>
      <c r="E36" s="2641"/>
      <c r="F36" s="338" t="s">
        <v>183</v>
      </c>
      <c r="G36" s="3707">
        <f>SUM(G30:G35)</f>
        <v>8906752</v>
      </c>
      <c r="H36" s="3708"/>
      <c r="J36" s="3707">
        <f>SUM(J30:J35)</f>
        <v>8906752</v>
      </c>
      <c r="K36" s="3708"/>
      <c r="L36" s="2645"/>
      <c r="M36" s="3707">
        <f>SUM(M30:M35)</f>
        <v>0</v>
      </c>
      <c r="N36" s="3708"/>
      <c r="P36" s="3707">
        <f>SUM(P30:P35)</f>
        <v>0</v>
      </c>
      <c r="Q36" s="3708"/>
      <c r="S36" s="3707">
        <f>SUM(S30:S35)</f>
        <v>0</v>
      </c>
      <c r="T36" s="3708"/>
      <c r="V36" s="2802">
        <f>SUM(V30:V35)</f>
        <v>0</v>
      </c>
      <c r="W36" s="3646"/>
      <c r="X36" s="3647"/>
      <c r="AZ36" s="1808" t="s">
        <v>6684</v>
      </c>
      <c r="BA36" s="1773">
        <v>36</v>
      </c>
    </row>
    <row r="37" spans="1:53" s="289" customFormat="1" ht="12" customHeight="1">
      <c r="B37" s="291" t="s">
        <v>2239</v>
      </c>
      <c r="D37" s="3734" t="s">
        <v>3356</v>
      </c>
      <c r="E37" s="3734"/>
      <c r="F37" s="851">
        <f>SUM(F38:F40)</f>
        <v>0.13999996925358238</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546405.12</v>
      </c>
      <c r="F38" s="852">
        <f>IF(($G$28+$G$36)=0,0,G38/($G$28+$G$36))</f>
        <v>5.9999986822963883E-2</v>
      </c>
      <c r="G38" s="3553">
        <v>546405</v>
      </c>
      <c r="H38" s="3554"/>
      <c r="I38" s="307"/>
      <c r="J38" s="3553">
        <v>540405</v>
      </c>
      <c r="K38" s="3554"/>
      <c r="L38" s="2645"/>
      <c r="M38" s="3553"/>
      <c r="N38" s="3554"/>
      <c r="P38" s="3553"/>
      <c r="Q38" s="3554"/>
      <c r="S38" s="3553">
        <v>6000</v>
      </c>
      <c r="T38" s="3554"/>
      <c r="V38" s="2800"/>
      <c r="W38" s="3628"/>
      <c r="X38" s="3629"/>
      <c r="AZ38" s="1808"/>
      <c r="BA38" s="1773">
        <v>38</v>
      </c>
    </row>
    <row r="39" spans="1:53" s="289" customFormat="1" ht="11.25" customHeight="1">
      <c r="B39" s="289" t="s">
        <v>2574</v>
      </c>
      <c r="D39" s="854">
        <f>'DCA Underwriting Assumptions'!$R$79</f>
        <v>0.02</v>
      </c>
      <c r="E39" s="855">
        <f>D39*(G28+G36)</f>
        <v>182135.04000000001</v>
      </c>
      <c r="F39" s="852">
        <f>IF(($G$28+$G$36)=0,0,G39/($G$28+$G$36))</f>
        <v>1.9999995607654628E-2</v>
      </c>
      <c r="G39" s="3541">
        <v>182135</v>
      </c>
      <c r="H39" s="3542"/>
      <c r="I39" s="307"/>
      <c r="J39" s="3541">
        <v>180135</v>
      </c>
      <c r="K39" s="3542"/>
      <c r="L39" s="2645"/>
      <c r="M39" s="3541"/>
      <c r="N39" s="3542"/>
      <c r="P39" s="3541"/>
      <c r="Q39" s="3542"/>
      <c r="S39" s="3541">
        <v>2000</v>
      </c>
      <c r="T39" s="3542"/>
      <c r="V39" s="2800"/>
      <c r="W39" s="3628"/>
      <c r="X39" s="3629"/>
      <c r="AZ39" s="1808"/>
      <c r="BA39" s="1773">
        <v>39</v>
      </c>
    </row>
    <row r="40" spans="1:53" s="289" customFormat="1" ht="11.25" customHeight="1" thickBot="1">
      <c r="B40" s="289" t="s">
        <v>2575</v>
      </c>
      <c r="D40" s="858">
        <f>'DCA Underwriting Assumptions'!$R$80</f>
        <v>0.06</v>
      </c>
      <c r="E40" s="859">
        <f>D40*(G28+G36)</f>
        <v>546405.12</v>
      </c>
      <c r="F40" s="1014">
        <f>IF(($G$28+$G$36)=0,0,G40/($G$28+$G$36))</f>
        <v>5.9999986822963883E-2</v>
      </c>
      <c r="G40" s="3710">
        <v>546405</v>
      </c>
      <c r="H40" s="3711"/>
      <c r="I40" s="307"/>
      <c r="J40" s="3710">
        <v>540405</v>
      </c>
      <c r="K40" s="3711"/>
      <c r="L40" s="2645"/>
      <c r="M40" s="3710"/>
      <c r="N40" s="3711"/>
      <c r="P40" s="3710"/>
      <c r="Q40" s="3711"/>
      <c r="S40" s="3710">
        <v>6000</v>
      </c>
      <c r="T40" s="3711"/>
      <c r="V40" s="2800"/>
      <c r="W40" s="3630"/>
      <c r="X40" s="3631"/>
      <c r="AZ40" s="1808"/>
      <c r="BA40" s="1773">
        <v>40</v>
      </c>
    </row>
    <row r="41" spans="1:53" s="289" customFormat="1" ht="12.6" customHeight="1" thickTop="1">
      <c r="B41" s="170" t="s">
        <v>3357</v>
      </c>
      <c r="D41" s="856">
        <f>SUM(D38:D40)</f>
        <v>0.14000000000000001</v>
      </c>
      <c r="E41" s="857">
        <f>SUM(E38:E40)</f>
        <v>1274945.28</v>
      </c>
      <c r="F41" s="839" t="s">
        <v>183</v>
      </c>
      <c r="G41" s="3707">
        <f>SUM(G38:G40)</f>
        <v>1274945</v>
      </c>
      <c r="H41" s="3708"/>
      <c r="J41" s="3707">
        <f>SUM(J38:J40)</f>
        <v>1260945</v>
      </c>
      <c r="K41" s="3708"/>
      <c r="L41" s="340"/>
      <c r="M41" s="3707">
        <f>SUM(M38:M40)</f>
        <v>0</v>
      </c>
      <c r="N41" s="3708"/>
      <c r="P41" s="3707">
        <f>SUM(P38:P40)</f>
        <v>0</v>
      </c>
      <c r="Q41" s="3708"/>
      <c r="S41" s="3707">
        <f>SUM(S38:S40)</f>
        <v>14000</v>
      </c>
      <c r="T41" s="3708"/>
      <c r="V41" s="2802">
        <f>SUM(V38:V40)</f>
        <v>0</v>
      </c>
      <c r="W41" s="3646"/>
      <c r="X41" s="3647"/>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6818</v>
      </c>
      <c r="D43" s="1779"/>
      <c r="E43" s="1727"/>
      <c r="F43" s="1727"/>
      <c r="G43" s="3625">
        <f>G28+G36+G41</f>
        <v>10381697</v>
      </c>
      <c r="H43" s="3626"/>
      <c r="I43" s="1711"/>
      <c r="J43" s="1711"/>
      <c r="K43" s="1711"/>
      <c r="L43" s="1711"/>
      <c r="M43" s="1711"/>
      <c r="N43" s="1711"/>
      <c r="O43" s="1711"/>
      <c r="P43" s="1711"/>
      <c r="Q43" s="1711"/>
      <c r="R43" s="1711"/>
      <c r="S43" s="1711"/>
      <c r="T43" s="1711"/>
      <c r="V43" s="935"/>
      <c r="AZ43" s="1808"/>
      <c r="BA43" s="1773">
        <v>43</v>
      </c>
    </row>
    <row r="44" spans="1:53" s="166" customFormat="1" ht="3" customHeight="1">
      <c r="A44" s="2803"/>
      <c r="B44" s="2803"/>
      <c r="C44" s="2803"/>
      <c r="D44" s="2803"/>
      <c r="E44" s="2803"/>
      <c r="F44" s="2803"/>
      <c r="G44" s="2803"/>
      <c r="H44" s="2803"/>
      <c r="I44" s="2803"/>
      <c r="J44" s="2803"/>
      <c r="K44" s="2803"/>
      <c r="L44" s="2803"/>
      <c r="M44" s="2803"/>
      <c r="N44" s="2803"/>
      <c r="O44" s="2803"/>
      <c r="P44" s="2803"/>
      <c r="Q44" s="2803"/>
      <c r="R44" s="2803"/>
      <c r="S44" s="2803"/>
      <c r="T44" s="2803"/>
      <c r="AZ44" s="1809" t="s">
        <v>6686</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05" t="s">
        <v>6910</v>
      </c>
      <c r="D46" s="3732"/>
      <c r="E46" s="3732"/>
      <c r="F46" s="3733"/>
      <c r="G46" s="3728">
        <v>30000</v>
      </c>
      <c r="H46" s="3729"/>
      <c r="I46" s="289"/>
      <c r="J46" s="3728">
        <v>30000</v>
      </c>
      <c r="K46" s="3729"/>
      <c r="L46" s="2645"/>
      <c r="M46" s="3728"/>
      <c r="N46" s="3729"/>
      <c r="O46" s="289"/>
      <c r="P46" s="3728"/>
      <c r="Q46" s="3729"/>
      <c r="R46" s="289"/>
      <c r="S46" s="3728"/>
      <c r="T46" s="3729"/>
      <c r="V46" s="2800"/>
      <c r="W46" s="3619"/>
      <c r="X46" s="362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1"/>
      <c r="X47" s="3622"/>
      <c r="AZ47" s="1808" t="s">
        <v>6687</v>
      </c>
      <c r="BA47" s="1773">
        <v>47</v>
      </c>
    </row>
    <row r="48" spans="1:53" s="289" customFormat="1" ht="12.6" customHeight="1">
      <c r="B48" s="1740" t="s">
        <v>2580</v>
      </c>
      <c r="C48" s="1741"/>
      <c r="E48" s="3730" t="s">
        <v>2579</v>
      </c>
      <c r="F48" s="2643">
        <f>C49/'Part VI-Revenues &amp; Expenses'!$P$65</f>
        <v>144606.90277777778</v>
      </c>
      <c r="G48" s="2644" t="s">
        <v>2598</v>
      </c>
      <c r="H48" s="1742"/>
      <c r="I48" s="1742"/>
      <c r="J48" s="3613">
        <f>C49/'Part VI-Revenues &amp; Expenses'!$P$67</f>
        <v>144606.90277777778</v>
      </c>
      <c r="K48" s="3613"/>
      <c r="L48" s="1742"/>
      <c r="M48" s="3614" t="s">
        <v>6798</v>
      </c>
      <c r="N48" s="3614"/>
      <c r="O48" s="1742"/>
      <c r="P48" s="3613">
        <f>C49/'Part I-Project Information'!$P$70</f>
        <v>149.62774488388135</v>
      </c>
      <c r="Q48" s="3613"/>
      <c r="R48" s="1742"/>
      <c r="S48" s="3615" t="s">
        <v>6800</v>
      </c>
      <c r="T48" s="3616"/>
      <c r="V48" s="935"/>
      <c r="W48" s="3621"/>
      <c r="X48" s="3622"/>
      <c r="AZ48" s="1808"/>
      <c r="BA48" s="1773">
        <v>48</v>
      </c>
    </row>
    <row r="49" spans="1:53" s="289" customFormat="1" ht="12.6" customHeight="1">
      <c r="B49" s="1781" t="s">
        <v>6817</v>
      </c>
      <c r="C49" s="1780">
        <f>G28+G36+G41+G46</f>
        <v>10411697</v>
      </c>
      <c r="E49" s="3731"/>
      <c r="F49" s="2642">
        <f>C49/'Part VI-Revenues &amp; Expenses'!$P$166</f>
        <v>158.75361368626494</v>
      </c>
      <c r="G49" s="1743" t="s">
        <v>2599</v>
      </c>
      <c r="H49" s="1744"/>
      <c r="I49" s="1744"/>
      <c r="J49" s="3617">
        <f>C49/'Part VI-Revenues &amp; Expenses'!$P$168</f>
        <v>158.75361368626494</v>
      </c>
      <c r="K49" s="3617"/>
      <c r="L49" s="1744"/>
      <c r="M49" s="3618" t="s">
        <v>6799</v>
      </c>
      <c r="N49" s="3618"/>
      <c r="O49" s="1744"/>
      <c r="P49" s="1744"/>
      <c r="Q49" s="1744"/>
      <c r="R49" s="1744"/>
      <c r="S49" s="1744"/>
      <c r="T49" s="1745"/>
      <c r="V49" s="935"/>
      <c r="W49" s="3623"/>
      <c r="X49" s="362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9"/>
      <c r="I51" s="2629"/>
      <c r="J51" s="3690" t="s">
        <v>260</v>
      </c>
      <c r="K51" s="3691"/>
      <c r="L51" s="337"/>
      <c r="M51" s="3716" t="s">
        <v>468</v>
      </c>
      <c r="N51" s="3717"/>
      <c r="P51" s="3690" t="s">
        <v>261</v>
      </c>
      <c r="Q51" s="3691"/>
      <c r="S51" s="3690" t="s">
        <v>262</v>
      </c>
      <c r="T51" s="3691"/>
      <c r="V51" s="935"/>
      <c r="W51" s="411" t="str">
        <f>B51</f>
        <v>DEVELOPMENT BUDGET (cont'd)</v>
      </c>
      <c r="AZ51" s="1808"/>
      <c r="BA51" s="1773">
        <v>58</v>
      </c>
    </row>
    <row r="52" spans="1:53" s="289" customFormat="1" ht="18.75" customHeight="1" thickBot="1">
      <c r="G52" s="3720" t="s">
        <v>94</v>
      </c>
      <c r="H52" s="3721"/>
      <c r="J52" s="3692"/>
      <c r="K52" s="3693"/>
      <c r="L52" s="337"/>
      <c r="M52" s="3718"/>
      <c r="N52" s="3719"/>
      <c r="P52" s="3692"/>
      <c r="Q52" s="3693"/>
      <c r="S52" s="3692"/>
      <c r="T52" s="3693"/>
      <c r="V52" s="935"/>
      <c r="W52" s="3654" t="s">
        <v>2537</v>
      </c>
      <c r="X52" s="3654"/>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520584.85000000003</v>
      </c>
      <c r="F55" s="1849">
        <f>G55/C49</f>
        <v>4.9855945673409438E-2</v>
      </c>
      <c r="G55" s="3728">
        <v>519085</v>
      </c>
      <c r="H55" s="3729"/>
      <c r="I55" s="289"/>
      <c r="J55" s="3728">
        <v>519085</v>
      </c>
      <c r="K55" s="3729"/>
      <c r="L55" s="2645"/>
      <c r="M55" s="3728"/>
      <c r="N55" s="3729"/>
      <c r="O55" s="289"/>
      <c r="P55" s="3728"/>
      <c r="Q55" s="3729"/>
      <c r="R55" s="289"/>
      <c r="S55" s="3728"/>
      <c r="T55" s="3729"/>
      <c r="V55" s="2800"/>
      <c r="W55" s="3628"/>
      <c r="X55" s="3629"/>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9"/>
      <c r="X56" s="3620"/>
      <c r="AZ56" s="1808"/>
      <c r="BA56" s="1773">
        <v>53</v>
      </c>
    </row>
    <row r="57" spans="1:53" s="289" customFormat="1" ht="12.6" customHeight="1">
      <c r="B57" s="1746" t="s">
        <v>6609</v>
      </c>
      <c r="C57" s="1741"/>
      <c r="E57" s="3611" t="s">
        <v>6610</v>
      </c>
      <c r="F57" s="2643">
        <f>B58/'Part VI-Revenues &amp; Expenses'!$P$65</f>
        <v>151816.41666666666</v>
      </c>
      <c r="G57" s="2644" t="s">
        <v>2598</v>
      </c>
      <c r="H57" s="1742"/>
      <c r="I57" s="1742"/>
      <c r="J57" s="3613">
        <f>B58/'Part VI-Revenues &amp; Expenses'!$P$67</f>
        <v>151816.41666666666</v>
      </c>
      <c r="K57" s="3613"/>
      <c r="L57" s="1742"/>
      <c r="M57" s="3614" t="s">
        <v>6798</v>
      </c>
      <c r="N57" s="3614"/>
      <c r="O57" s="1742"/>
      <c r="P57" s="3613">
        <f>B58/'Part I-Project Information'!$P$70</f>
        <v>157.08757760404691</v>
      </c>
      <c r="Q57" s="3613"/>
      <c r="R57" s="1742"/>
      <c r="S57" s="3615" t="s">
        <v>6800</v>
      </c>
      <c r="T57" s="3616"/>
      <c r="V57" s="935"/>
      <c r="W57" s="3621"/>
      <c r="X57" s="3622"/>
      <c r="AZ57" s="1808"/>
      <c r="BA57" s="1773">
        <v>54</v>
      </c>
    </row>
    <row r="58" spans="1:53" s="289" customFormat="1" ht="12.6" customHeight="1">
      <c r="B58" s="3609">
        <f>C49+G55</f>
        <v>10930782</v>
      </c>
      <c r="C58" s="3610"/>
      <c r="E58" s="3612"/>
      <c r="F58" s="2642">
        <f>B58/'Part VI-Revenues &amp; Expenses'!$P$166</f>
        <v>166.66842522566481</v>
      </c>
      <c r="G58" s="1743" t="s">
        <v>2599</v>
      </c>
      <c r="H58" s="1744"/>
      <c r="I58" s="1744"/>
      <c r="J58" s="3617">
        <f>B58/'Part VI-Revenues &amp; Expenses'!$P$168</f>
        <v>166.66842522566481</v>
      </c>
      <c r="K58" s="3617"/>
      <c r="L58" s="1744"/>
      <c r="M58" s="3618" t="s">
        <v>6799</v>
      </c>
      <c r="N58" s="3618"/>
      <c r="O58" s="1744"/>
      <c r="P58" s="1744"/>
      <c r="Q58" s="1744"/>
      <c r="R58" s="1744"/>
      <c r="S58" s="1744"/>
      <c r="T58" s="1745"/>
      <c r="V58" s="935"/>
      <c r="W58" s="3621"/>
      <c r="X58" s="362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3"/>
      <c r="X59" s="362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3"/>
      <c r="H61" s="3554"/>
      <c r="J61" s="3553"/>
      <c r="K61" s="3554"/>
      <c r="L61" s="2645"/>
      <c r="M61" s="3553"/>
      <c r="N61" s="3554"/>
      <c r="P61" s="3553"/>
      <c r="Q61" s="3554"/>
      <c r="S61" s="3553"/>
      <c r="T61" s="3554"/>
      <c r="V61" s="2804"/>
      <c r="W61" s="3628"/>
      <c r="X61" s="3629"/>
      <c r="AZ61" s="1808"/>
      <c r="BA61" s="1773">
        <v>61</v>
      </c>
    </row>
    <row r="62" spans="1:53" s="289" customFormat="1" ht="12" customHeight="1">
      <c r="B62" s="289" t="s">
        <v>3359</v>
      </c>
      <c r="G62" s="3541"/>
      <c r="H62" s="3542"/>
      <c r="J62" s="3541"/>
      <c r="K62" s="3542"/>
      <c r="L62" s="2645"/>
      <c r="M62" s="3541"/>
      <c r="N62" s="3542"/>
      <c r="P62" s="3541"/>
      <c r="Q62" s="3542"/>
      <c r="S62" s="3541"/>
      <c r="T62" s="3542"/>
      <c r="V62" s="2804"/>
      <c r="W62" s="3628"/>
      <c r="X62" s="3629"/>
      <c r="AZ62" s="1808"/>
      <c r="BA62" s="1773">
        <v>62</v>
      </c>
    </row>
    <row r="63" spans="1:53" s="289" customFormat="1" ht="12" customHeight="1">
      <c r="B63" s="289" t="s">
        <v>2242</v>
      </c>
      <c r="G63" s="3541">
        <v>107700</v>
      </c>
      <c r="H63" s="3542"/>
      <c r="J63" s="3541">
        <v>70005</v>
      </c>
      <c r="K63" s="3542"/>
      <c r="L63" s="2645"/>
      <c r="M63" s="3541"/>
      <c r="N63" s="3542"/>
      <c r="P63" s="3541"/>
      <c r="Q63" s="3542"/>
      <c r="S63" s="3541">
        <v>37695</v>
      </c>
      <c r="T63" s="3542"/>
      <c r="V63" s="2804"/>
      <c r="W63" s="3628"/>
      <c r="X63" s="3629"/>
      <c r="AZ63" s="1808"/>
      <c r="BA63" s="1773">
        <v>63</v>
      </c>
    </row>
    <row r="64" spans="1:53" s="289" customFormat="1" ht="12" customHeight="1">
      <c r="B64" s="289" t="s">
        <v>2243</v>
      </c>
      <c r="G64" s="3541">
        <v>425831</v>
      </c>
      <c r="H64" s="3542"/>
      <c r="J64" s="3541">
        <v>276790</v>
      </c>
      <c r="K64" s="3542"/>
      <c r="L64" s="2645"/>
      <c r="M64" s="3541"/>
      <c r="N64" s="3542"/>
      <c r="P64" s="3541"/>
      <c r="Q64" s="3542"/>
      <c r="S64" s="3541">
        <v>149041</v>
      </c>
      <c r="T64" s="3542"/>
      <c r="V64" s="2804"/>
      <c r="W64" s="3628"/>
      <c r="X64" s="3629"/>
      <c r="AZ64" s="1808"/>
      <c r="BA64" s="1773">
        <v>64</v>
      </c>
    </row>
    <row r="65" spans="1:53" s="289" customFormat="1" ht="12" customHeight="1">
      <c r="B65" s="289" t="s">
        <v>2244</v>
      </c>
      <c r="G65" s="3541">
        <v>50000</v>
      </c>
      <c r="H65" s="3542"/>
      <c r="J65" s="3541">
        <v>32500</v>
      </c>
      <c r="K65" s="3542"/>
      <c r="L65" s="2645"/>
      <c r="M65" s="3541"/>
      <c r="N65" s="3542"/>
      <c r="P65" s="3541"/>
      <c r="Q65" s="3542"/>
      <c r="S65" s="3541">
        <v>17500</v>
      </c>
      <c r="T65" s="3542"/>
      <c r="V65" s="2804"/>
      <c r="W65" s="3628"/>
      <c r="X65" s="3629"/>
      <c r="AZ65" s="1808" t="s">
        <v>6688</v>
      </c>
      <c r="BA65" s="1773">
        <v>65</v>
      </c>
    </row>
    <row r="66" spans="1:53" s="289" customFormat="1" ht="12" customHeight="1">
      <c r="B66" s="289" t="s">
        <v>2539</v>
      </c>
      <c r="G66" s="3541">
        <v>20000</v>
      </c>
      <c r="H66" s="3542"/>
      <c r="J66" s="3541">
        <v>13000</v>
      </c>
      <c r="K66" s="3542"/>
      <c r="L66" s="2645"/>
      <c r="M66" s="3541"/>
      <c r="N66" s="3542"/>
      <c r="P66" s="3541"/>
      <c r="Q66" s="3542"/>
      <c r="S66" s="3541">
        <v>7000</v>
      </c>
      <c r="T66" s="3542"/>
      <c r="V66" s="2804"/>
      <c r="W66" s="3628"/>
      <c r="X66" s="3629"/>
      <c r="AZ66" s="1808" t="s">
        <v>6689</v>
      </c>
      <c r="BA66" s="1773">
        <v>66</v>
      </c>
    </row>
    <row r="67" spans="1:53" s="289" customFormat="1" ht="12" customHeight="1">
      <c r="B67" s="289" t="s">
        <v>693</v>
      </c>
      <c r="G67" s="3541">
        <v>20000</v>
      </c>
      <c r="H67" s="3542"/>
      <c r="J67" s="3541">
        <v>20000</v>
      </c>
      <c r="K67" s="3542"/>
      <c r="L67" s="2645"/>
      <c r="M67" s="3541"/>
      <c r="N67" s="3542"/>
      <c r="P67" s="3541"/>
      <c r="Q67" s="3542"/>
      <c r="S67" s="3541"/>
      <c r="T67" s="3542"/>
      <c r="V67" s="2804"/>
      <c r="W67" s="3628"/>
      <c r="X67" s="3629"/>
      <c r="AZ67" s="1808" t="s">
        <v>6690</v>
      </c>
      <c r="BA67" s="1773">
        <v>67</v>
      </c>
    </row>
    <row r="68" spans="1:53" s="289" customFormat="1" ht="12" customHeight="1">
      <c r="B68" s="289" t="s">
        <v>2245</v>
      </c>
      <c r="G68" s="3541">
        <v>75000</v>
      </c>
      <c r="H68" s="3542"/>
      <c r="J68" s="3541">
        <v>75000</v>
      </c>
      <c r="K68" s="3542"/>
      <c r="L68" s="2645"/>
      <c r="M68" s="3541"/>
      <c r="N68" s="3542"/>
      <c r="P68" s="3541"/>
      <c r="Q68" s="3542"/>
      <c r="S68" s="3541"/>
      <c r="T68" s="3542"/>
      <c r="V68" s="2804"/>
      <c r="W68" s="3628"/>
      <c r="X68" s="3629"/>
      <c r="AZ68" s="1808"/>
      <c r="BA68" s="1773">
        <v>68</v>
      </c>
    </row>
    <row r="69" spans="1:53" s="289" customFormat="1" ht="12" customHeight="1">
      <c r="B69" s="289" t="s">
        <v>1228</v>
      </c>
      <c r="G69" s="3541"/>
      <c r="H69" s="3542"/>
      <c r="J69" s="3541"/>
      <c r="K69" s="3542"/>
      <c r="L69" s="2645"/>
      <c r="M69" s="3541"/>
      <c r="N69" s="3542"/>
      <c r="P69" s="3541"/>
      <c r="Q69" s="3542"/>
      <c r="S69" s="3541"/>
      <c r="T69" s="3542"/>
      <c r="V69" s="2804"/>
      <c r="W69" s="3628"/>
      <c r="X69" s="3629"/>
      <c r="AZ69" s="1808"/>
      <c r="BA69" s="1773">
        <v>69</v>
      </c>
    </row>
    <row r="70" spans="1:53" s="289" customFormat="1" ht="12" customHeight="1">
      <c r="B70" s="344" t="s">
        <v>1111</v>
      </c>
      <c r="D70" s="342"/>
      <c r="E70" s="342"/>
      <c r="F70" s="343"/>
      <c r="G70" s="3541"/>
      <c r="H70" s="3542"/>
      <c r="I70" s="307"/>
      <c r="J70" s="3541"/>
      <c r="K70" s="3542"/>
      <c r="L70" s="2645"/>
      <c r="M70" s="3541"/>
      <c r="N70" s="3542"/>
      <c r="P70" s="3541"/>
      <c r="Q70" s="3542"/>
      <c r="S70" s="3541"/>
      <c r="T70" s="3542"/>
      <c r="V70" s="2804"/>
      <c r="W70" s="3628"/>
      <c r="X70" s="3629"/>
      <c r="AZ70" s="1808"/>
      <c r="BA70" s="1773">
        <v>70</v>
      </c>
    </row>
    <row r="71" spans="1:53" s="289" customFormat="1" ht="12" customHeight="1">
      <c r="A71" s="363" t="str">
        <f>IF(AND(G71&gt;0,OR(C71="",C71="&lt;Enter detailed description here; use Comments section if needed&gt;")),"X","")</f>
        <v/>
      </c>
      <c r="B71" s="170" t="s">
        <v>6582</v>
      </c>
      <c r="C71" s="3724" t="s">
        <v>3342</v>
      </c>
      <c r="D71" s="3724"/>
      <c r="E71" s="3724"/>
      <c r="F71" s="3725"/>
      <c r="G71" s="3541"/>
      <c r="H71" s="3542"/>
      <c r="J71" s="3541"/>
      <c r="K71" s="3542"/>
      <c r="L71" s="2645"/>
      <c r="M71" s="3541"/>
      <c r="N71" s="3542"/>
      <c r="P71" s="3541"/>
      <c r="Q71" s="3542"/>
      <c r="S71" s="3541"/>
      <c r="T71" s="3542"/>
      <c r="U71" s="362" t="str">
        <f>IF(AND(G71&gt;0,OR(C71="",C71="&lt;Enter detailed description here; use Comments section if needed&gt;")),"NO DESCRIPTION PROVIDED - please enter detailed description in Other box at left; use Comments section below if needed.","")</f>
        <v/>
      </c>
      <c r="V71" s="2804"/>
      <c r="W71" s="3628"/>
      <c r="X71" s="3629"/>
      <c r="AZ71" s="1808"/>
      <c r="BA71" s="1773">
        <v>71</v>
      </c>
    </row>
    <row r="72" spans="1:53" s="289" customFormat="1" ht="12" customHeight="1" thickBot="1">
      <c r="A72" s="363" t="str">
        <f>IF(AND(G72&gt;0,OR(C72="",C72="&lt;Enter detailed description here; use Comments section if needed&gt;")),"X","")</f>
        <v/>
      </c>
      <c r="B72" s="170" t="s">
        <v>6583</v>
      </c>
      <c r="C72" s="3726" t="s">
        <v>3342</v>
      </c>
      <c r="D72" s="3726"/>
      <c r="E72" s="3726"/>
      <c r="F72" s="3727"/>
      <c r="G72" s="3545"/>
      <c r="H72" s="3546"/>
      <c r="J72" s="3545"/>
      <c r="K72" s="3546"/>
      <c r="L72" s="2645"/>
      <c r="M72" s="3545"/>
      <c r="N72" s="3546"/>
      <c r="P72" s="3545"/>
      <c r="Q72" s="3546"/>
      <c r="S72" s="3545"/>
      <c r="T72" s="3546"/>
      <c r="U72" s="362" t="str">
        <f>IF(AND(G72&gt;0,OR(C72="",C72="&lt;Enter detailed description here; use Comments section if needed&gt;")),"NO DESCRIPTION PROVIDED - please enter detailed description in Other box at left; use Comments section below if needed.","")</f>
        <v/>
      </c>
      <c r="V72" s="2804"/>
      <c r="W72" s="3630"/>
      <c r="X72" s="3631"/>
      <c r="AZ72" s="1808"/>
      <c r="BA72" s="1773">
        <v>72</v>
      </c>
    </row>
    <row r="73" spans="1:53" s="289" customFormat="1" ht="12" customHeight="1" thickTop="1">
      <c r="F73" s="338" t="s">
        <v>183</v>
      </c>
      <c r="G73" s="3707">
        <f>SUM(G61:G72)</f>
        <v>698531</v>
      </c>
      <c r="H73" s="3708"/>
      <c r="J73" s="3707">
        <f>SUM(J61:J72)</f>
        <v>487295</v>
      </c>
      <c r="K73" s="3708"/>
      <c r="L73" s="340"/>
      <c r="M73" s="3707">
        <f>SUM(M61:M72)</f>
        <v>0</v>
      </c>
      <c r="N73" s="3708"/>
      <c r="P73" s="3707">
        <f>SUM(P61:P72)</f>
        <v>0</v>
      </c>
      <c r="Q73" s="3708"/>
      <c r="S73" s="3707">
        <f>SUM(S61:S72)</f>
        <v>211236</v>
      </c>
      <c r="T73" s="3708"/>
      <c r="V73" s="2805">
        <f>SUM(V61:V72)</f>
        <v>0</v>
      </c>
      <c r="W73" s="3646"/>
      <c r="X73" s="3647"/>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3">
        <v>225000</v>
      </c>
      <c r="H75" s="3554"/>
      <c r="J75" s="3553">
        <v>225000</v>
      </c>
      <c r="K75" s="3554"/>
      <c r="L75" s="2645"/>
      <c r="M75" s="3553"/>
      <c r="N75" s="3554"/>
      <c r="P75" s="3553"/>
      <c r="Q75" s="3554"/>
      <c r="S75" s="3553"/>
      <c r="T75" s="3554"/>
      <c r="V75" s="2800"/>
      <c r="W75" s="3628"/>
      <c r="X75" s="3629"/>
      <c r="AZ75" s="1808"/>
      <c r="BA75" s="1773">
        <v>75</v>
      </c>
    </row>
    <row r="76" spans="1:53" s="289" customFormat="1" ht="12" customHeight="1">
      <c r="B76" s="289" t="s">
        <v>458</v>
      </c>
      <c r="G76" s="3541"/>
      <c r="H76" s="3542"/>
      <c r="J76" s="3541"/>
      <c r="K76" s="3542"/>
      <c r="L76" s="2645"/>
      <c r="M76" s="3541"/>
      <c r="N76" s="3542"/>
      <c r="P76" s="3541"/>
      <c r="Q76" s="3542"/>
      <c r="S76" s="3541"/>
      <c r="T76" s="3542"/>
      <c r="V76" s="2800"/>
      <c r="W76" s="3628"/>
      <c r="X76" s="3629"/>
      <c r="AZ76" s="1808"/>
      <c r="BA76" s="1773">
        <v>76</v>
      </c>
    </row>
    <row r="77" spans="1:53" s="289" customFormat="1" ht="12" customHeight="1">
      <c r="B77" s="289" t="s">
        <v>1086</v>
      </c>
      <c r="D77" s="301"/>
      <c r="E77" s="927"/>
      <c r="F77" s="928"/>
      <c r="G77" s="3541">
        <v>20000</v>
      </c>
      <c r="H77" s="3542"/>
      <c r="J77" s="3541">
        <v>20000</v>
      </c>
      <c r="K77" s="3542"/>
      <c r="L77" s="2645"/>
      <c r="M77" s="3541"/>
      <c r="N77" s="3542"/>
      <c r="P77" s="3541"/>
      <c r="Q77" s="3542"/>
      <c r="S77" s="3541"/>
      <c r="T77" s="3542"/>
      <c r="V77" s="2800"/>
      <c r="W77" s="3628"/>
      <c r="X77" s="3629"/>
      <c r="AZ77" s="1808"/>
      <c r="BA77" s="1773">
        <v>77</v>
      </c>
    </row>
    <row r="78" spans="1:53" s="289" customFormat="1" ht="12" customHeight="1">
      <c r="B78" s="289" t="s">
        <v>1087</v>
      </c>
      <c r="G78" s="3541"/>
      <c r="H78" s="3542"/>
      <c r="J78" s="3541"/>
      <c r="K78" s="3542"/>
      <c r="L78" s="2645"/>
      <c r="M78" s="3541"/>
      <c r="N78" s="3542"/>
      <c r="P78" s="3541"/>
      <c r="Q78" s="3542"/>
      <c r="S78" s="3541"/>
      <c r="T78" s="3542"/>
      <c r="V78" s="2800"/>
      <c r="W78" s="3628"/>
      <c r="X78" s="3629"/>
      <c r="AZ78" s="1808"/>
      <c r="BA78" s="1773">
        <v>78</v>
      </c>
    </row>
    <row r="79" spans="1:53" s="289" customFormat="1" ht="12" customHeight="1">
      <c r="B79" s="289" t="s">
        <v>1088</v>
      </c>
      <c r="G79" s="3541">
        <v>5000</v>
      </c>
      <c r="H79" s="3542"/>
      <c r="J79" s="3541">
        <v>5000</v>
      </c>
      <c r="K79" s="3542"/>
      <c r="L79" s="2645"/>
      <c r="M79" s="3541"/>
      <c r="N79" s="3542"/>
      <c r="P79" s="3541"/>
      <c r="Q79" s="3542"/>
      <c r="S79" s="3541"/>
      <c r="T79" s="3542"/>
      <c r="V79" s="2800"/>
      <c r="W79" s="3628"/>
      <c r="X79" s="3629"/>
      <c r="AZ79" s="1808" t="s">
        <v>6691</v>
      </c>
      <c r="BA79" s="1773">
        <v>79</v>
      </c>
    </row>
    <row r="80" spans="1:53" s="289" customFormat="1" ht="12" customHeight="1">
      <c r="B80" s="289" t="s">
        <v>1089</v>
      </c>
      <c r="G80" s="3541"/>
      <c r="H80" s="3542"/>
      <c r="J80" s="3541"/>
      <c r="K80" s="3542"/>
      <c r="L80" s="2645"/>
      <c r="M80" s="3541"/>
      <c r="N80" s="3542"/>
      <c r="P80" s="3541"/>
      <c r="Q80" s="3542"/>
      <c r="S80" s="3541"/>
      <c r="T80" s="3542"/>
      <c r="V80" s="2800"/>
      <c r="W80" s="3628"/>
      <c r="X80" s="3629"/>
      <c r="AZ80" s="1808" t="s">
        <v>6692</v>
      </c>
      <c r="BA80" s="1773">
        <v>80</v>
      </c>
    </row>
    <row r="81" spans="1:53" s="289" customFormat="1" ht="12" customHeight="1">
      <c r="B81" s="289" t="s">
        <v>459</v>
      </c>
      <c r="G81" s="3541">
        <v>100000</v>
      </c>
      <c r="H81" s="3542"/>
      <c r="J81" s="3541">
        <v>100000</v>
      </c>
      <c r="K81" s="3542"/>
      <c r="L81" s="2645"/>
      <c r="M81" s="3541"/>
      <c r="N81" s="3542"/>
      <c r="P81" s="3541"/>
      <c r="Q81" s="3542"/>
      <c r="S81" s="3541"/>
      <c r="T81" s="3542"/>
      <c r="V81" s="2800"/>
      <c r="W81" s="3628"/>
      <c r="X81" s="3629"/>
      <c r="AZ81" s="1809"/>
      <c r="BA81" s="1773">
        <v>81</v>
      </c>
    </row>
    <row r="82" spans="1:53" s="289" customFormat="1" ht="12" customHeight="1">
      <c r="B82" s="289" t="s">
        <v>460</v>
      </c>
      <c r="G82" s="3541">
        <v>100000</v>
      </c>
      <c r="H82" s="3542"/>
      <c r="J82" s="3541">
        <v>50000</v>
      </c>
      <c r="K82" s="3542"/>
      <c r="L82" s="2645"/>
      <c r="M82" s="3541"/>
      <c r="N82" s="3542"/>
      <c r="P82" s="3541"/>
      <c r="Q82" s="3542"/>
      <c r="S82" s="3541">
        <v>50000</v>
      </c>
      <c r="T82" s="3542"/>
      <c r="V82" s="2800"/>
      <c r="W82" s="3628"/>
      <c r="X82" s="3629"/>
      <c r="AZ82" s="1808"/>
      <c r="BA82" s="1773">
        <v>82</v>
      </c>
    </row>
    <row r="83" spans="1:53" s="289" customFormat="1" ht="12" customHeight="1">
      <c r="B83" s="289" t="s">
        <v>1957</v>
      </c>
      <c r="G83" s="3541">
        <v>40000</v>
      </c>
      <c r="H83" s="3542"/>
      <c r="J83" s="3541">
        <v>40000</v>
      </c>
      <c r="K83" s="3542"/>
      <c r="L83" s="2645"/>
      <c r="M83" s="3541"/>
      <c r="N83" s="3542"/>
      <c r="P83" s="3541"/>
      <c r="Q83" s="3542"/>
      <c r="S83" s="3541"/>
      <c r="T83" s="3542"/>
      <c r="V83" s="2800"/>
      <c r="W83" s="3628"/>
      <c r="X83" s="3629"/>
      <c r="AZ83" s="1808"/>
      <c r="BA83" s="1773">
        <v>83</v>
      </c>
    </row>
    <row r="84" spans="1:53" s="289" customFormat="1" ht="12" customHeight="1">
      <c r="B84" s="289" t="s">
        <v>1229</v>
      </c>
      <c r="G84" s="3541">
        <v>10000</v>
      </c>
      <c r="H84" s="3542"/>
      <c r="J84" s="3541">
        <v>10000</v>
      </c>
      <c r="K84" s="3542"/>
      <c r="L84" s="2645"/>
      <c r="M84" s="3541"/>
      <c r="N84" s="3542"/>
      <c r="P84" s="3541"/>
      <c r="Q84" s="3542"/>
      <c r="S84" s="3541"/>
      <c r="T84" s="3542"/>
      <c r="V84" s="2800"/>
      <c r="W84" s="3628"/>
      <c r="X84" s="3629"/>
      <c r="AZ84" s="1808"/>
      <c r="BA84" s="1773">
        <v>84</v>
      </c>
    </row>
    <row r="85" spans="1:53" s="289" customFormat="1" ht="12" customHeight="1" thickBot="1">
      <c r="A85" s="363" t="str">
        <f>IF(AND(G85&gt;0,OR(C85="",C85="&lt;Enter detailed description here; use Comments section if needed&gt;")),"X","")</f>
        <v/>
      </c>
      <c r="B85" s="170" t="s">
        <v>6584</v>
      </c>
      <c r="C85" s="3705" t="s">
        <v>6911</v>
      </c>
      <c r="D85" s="3705"/>
      <c r="E85" s="3705"/>
      <c r="F85" s="3706"/>
      <c r="G85" s="3545">
        <v>5500</v>
      </c>
      <c r="H85" s="3546"/>
      <c r="J85" s="3545">
        <v>5500</v>
      </c>
      <c r="K85" s="3546"/>
      <c r="L85" s="2645"/>
      <c r="M85" s="3545"/>
      <c r="N85" s="3546"/>
      <c r="P85" s="3545"/>
      <c r="Q85" s="3546"/>
      <c r="S85" s="3545"/>
      <c r="T85" s="3546"/>
      <c r="U85" s="362" t="str">
        <f>IF(AND(G85&gt;0,OR(C85="",C85="&lt;Enter detailed description here; use Comments section if needed&gt;")),"NO DESCRIPTION PROVIDED - please enter detailed description in Other box at left; use Comments section below if needed.","")</f>
        <v/>
      </c>
      <c r="V85" s="2800"/>
      <c r="W85" s="3630"/>
      <c r="X85" s="3631"/>
      <c r="AZ85" s="1808"/>
      <c r="BA85" s="1773">
        <v>85</v>
      </c>
    </row>
    <row r="86" spans="1:53" s="289" customFormat="1" ht="12" customHeight="1" thickTop="1">
      <c r="F86" s="338" t="s">
        <v>183</v>
      </c>
      <c r="G86" s="3707">
        <f>SUM(G75:G85)</f>
        <v>505500</v>
      </c>
      <c r="H86" s="3708"/>
      <c r="J86" s="3707">
        <f>SUM(J75:J85)</f>
        <v>455500</v>
      </c>
      <c r="K86" s="3708"/>
      <c r="L86" s="340"/>
      <c r="M86" s="3707">
        <f>SUM(M75:M85)</f>
        <v>0</v>
      </c>
      <c r="N86" s="3708"/>
      <c r="P86" s="3707">
        <f>SUM(P75:P85)</f>
        <v>0</v>
      </c>
      <c r="Q86" s="3708"/>
      <c r="S86" s="3707">
        <f>SUM(S75:S85)</f>
        <v>50000</v>
      </c>
      <c r="T86" s="3708"/>
      <c r="V86" s="2802">
        <f>SUM(V75:V85)</f>
        <v>0</v>
      </c>
      <c r="W86" s="3646"/>
      <c r="X86" s="3647"/>
      <c r="AZ86" s="1808" t="s">
        <v>6693</v>
      </c>
      <c r="BA86" s="1773">
        <v>86</v>
      </c>
    </row>
    <row r="87" spans="1:53" ht="12" customHeight="1">
      <c r="A87" s="289"/>
      <c r="B87" s="291" t="s">
        <v>1221</v>
      </c>
      <c r="C87" s="289"/>
      <c r="D87" s="788" t="s">
        <v>3360</v>
      </c>
      <c r="E87" s="861">
        <f>G92/'Part VI-Revenues &amp; Expenses'!$P$67</f>
        <v>3508.9920833333331</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3">
        <v>49373</v>
      </c>
      <c r="H88" s="3554"/>
      <c r="J88" s="3553">
        <v>49373</v>
      </c>
      <c r="K88" s="3554"/>
      <c r="L88" s="2645"/>
      <c r="M88" s="3553"/>
      <c r="N88" s="3554"/>
      <c r="P88" s="3553"/>
      <c r="Q88" s="3554"/>
      <c r="S88" s="3553"/>
      <c r="T88" s="3554"/>
      <c r="V88" s="2800"/>
      <c r="W88" s="3628"/>
      <c r="X88" s="3629"/>
      <c r="AZ88" s="1808"/>
      <c r="BA88" s="1773">
        <v>88</v>
      </c>
    </row>
    <row r="89" spans="1:53" s="289" customFormat="1" ht="12" customHeight="1">
      <c r="B89" s="289" t="s">
        <v>1223</v>
      </c>
      <c r="G89" s="3541">
        <v>105519</v>
      </c>
      <c r="H89" s="3542"/>
      <c r="J89" s="3541">
        <v>105519</v>
      </c>
      <c r="K89" s="3542"/>
      <c r="L89" s="2645"/>
      <c r="M89" s="3541"/>
      <c r="N89" s="3542"/>
      <c r="P89" s="3541"/>
      <c r="Q89" s="3542"/>
      <c r="S89" s="3541"/>
      <c r="T89" s="3542"/>
      <c r="V89" s="2800"/>
      <c r="W89" s="3628"/>
      <c r="X89" s="3629"/>
      <c r="AZ89" s="1808"/>
      <c r="BA89" s="1773">
        <v>89</v>
      </c>
    </row>
    <row r="90" spans="1:53" s="289" customFormat="1" ht="12" customHeight="1">
      <c r="B90" s="289" t="s">
        <v>1224</v>
      </c>
      <c r="D90" s="346" t="s">
        <v>1353</v>
      </c>
      <c r="E90" s="2806" t="s">
        <v>2772</v>
      </c>
      <c r="G90" s="3541"/>
      <c r="H90" s="3542"/>
      <c r="I90" s="307"/>
      <c r="J90" s="3541"/>
      <c r="K90" s="3542"/>
      <c r="L90" s="2645"/>
      <c r="M90" s="3541"/>
      <c r="N90" s="3542"/>
      <c r="P90" s="3541"/>
      <c r="Q90" s="3542"/>
      <c r="S90" s="3541"/>
      <c r="T90" s="3542"/>
      <c r="V90" s="2800"/>
      <c r="W90" s="3628"/>
      <c r="X90" s="3629"/>
      <c r="AZ90" s="1808"/>
      <c r="BA90" s="1773">
        <v>90</v>
      </c>
    </row>
    <row r="91" spans="1:53" s="289" customFormat="1" ht="12" customHeight="1" thickBot="1">
      <c r="B91" s="289" t="s">
        <v>1225</v>
      </c>
      <c r="D91" s="346" t="s">
        <v>1353</v>
      </c>
      <c r="E91" s="2807" t="s">
        <v>2772</v>
      </c>
      <c r="G91" s="3545">
        <v>97755.43</v>
      </c>
      <c r="H91" s="3546"/>
      <c r="I91" s="307"/>
      <c r="J91" s="3545">
        <v>97755.43</v>
      </c>
      <c r="K91" s="3546"/>
      <c r="L91" s="2645"/>
      <c r="M91" s="3545"/>
      <c r="N91" s="3546"/>
      <c r="P91" s="3545"/>
      <c r="Q91" s="3546"/>
      <c r="S91" s="3545"/>
      <c r="T91" s="3546"/>
      <c r="V91" s="2800"/>
      <c r="W91" s="3630"/>
      <c r="X91" s="3631"/>
      <c r="AZ91" s="1808"/>
      <c r="BA91" s="1773">
        <v>91</v>
      </c>
    </row>
    <row r="92" spans="1:53" s="289" customFormat="1" ht="12" customHeight="1" thickTop="1">
      <c r="F92" s="338" t="s">
        <v>183</v>
      </c>
      <c r="G92" s="3707">
        <f>SUM(G88:G91)</f>
        <v>252647.43</v>
      </c>
      <c r="H92" s="3708"/>
      <c r="J92" s="3707">
        <f>SUM(J88:J91)</f>
        <v>252647.43</v>
      </c>
      <c r="K92" s="3708"/>
      <c r="L92" s="340"/>
      <c r="M92" s="3707">
        <f>SUM(M88:M91)</f>
        <v>0</v>
      </c>
      <c r="N92" s="3708"/>
      <c r="P92" s="3707">
        <f>SUM(P88:P91)</f>
        <v>0</v>
      </c>
      <c r="Q92" s="3708"/>
      <c r="S92" s="3707">
        <f>SUM(S88:S91)</f>
        <v>0</v>
      </c>
      <c r="T92" s="3708"/>
      <c r="V92" s="2802">
        <f>SUM(V88:V91)</f>
        <v>0</v>
      </c>
      <c r="W92" s="3646"/>
      <c r="X92" s="3647"/>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9"/>
      <c r="I94" s="2629"/>
      <c r="J94" s="3690" t="s">
        <v>260</v>
      </c>
      <c r="K94" s="3691"/>
      <c r="L94" s="337"/>
      <c r="M94" s="3716" t="s">
        <v>468</v>
      </c>
      <c r="N94" s="3717"/>
      <c r="P94" s="3690" t="s">
        <v>261</v>
      </c>
      <c r="Q94" s="3691"/>
      <c r="S94" s="3690" t="s">
        <v>262</v>
      </c>
      <c r="T94" s="3691"/>
      <c r="V94" s="411" t="str">
        <f>B94</f>
        <v>DEVELOPMENT BUDGET  (cont'd)</v>
      </c>
      <c r="AZ94" s="1808"/>
      <c r="BA94" s="1773">
        <v>102</v>
      </c>
    </row>
    <row r="95" spans="1:53" s="289" customFormat="1" ht="18" customHeight="1" thickBot="1">
      <c r="G95" s="3720" t="s">
        <v>94</v>
      </c>
      <c r="H95" s="3721"/>
      <c r="J95" s="3692"/>
      <c r="K95" s="3693"/>
      <c r="L95" s="337"/>
      <c r="M95" s="3718"/>
      <c r="N95" s="3719"/>
      <c r="P95" s="3692"/>
      <c r="Q95" s="3693"/>
      <c r="S95" s="3692"/>
      <c r="T95" s="3693"/>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53">
        <v>22890</v>
      </c>
      <c r="H97" s="3554"/>
      <c r="J97" s="3715"/>
      <c r="K97" s="3715"/>
      <c r="L97" s="2645"/>
      <c r="M97" s="3715"/>
      <c r="N97" s="3715"/>
      <c r="P97" s="3715"/>
      <c r="Q97" s="3715"/>
      <c r="S97" s="3553">
        <v>22890</v>
      </c>
      <c r="T97" s="3554"/>
      <c r="V97" s="2800"/>
      <c r="W97" s="3628"/>
      <c r="X97" s="3629"/>
      <c r="AZ97" s="1808" t="s">
        <v>6695</v>
      </c>
      <c r="BA97" s="1773">
        <v>94</v>
      </c>
    </row>
    <row r="98" spans="1:53" s="289" customFormat="1" ht="12" customHeight="1">
      <c r="B98" s="289" t="s">
        <v>1227</v>
      </c>
      <c r="G98" s="3541">
        <v>50000</v>
      </c>
      <c r="H98" s="3542"/>
      <c r="J98" s="3715"/>
      <c r="K98" s="3715"/>
      <c r="L98" s="2645"/>
      <c r="M98" s="3715"/>
      <c r="N98" s="3715"/>
      <c r="P98" s="3715"/>
      <c r="Q98" s="3715"/>
      <c r="S98" s="3541">
        <v>50000</v>
      </c>
      <c r="T98" s="3542"/>
      <c r="V98" s="2800"/>
      <c r="W98" s="3628"/>
      <c r="X98" s="3629"/>
      <c r="AZ98" s="1808"/>
      <c r="BA98" s="1773">
        <v>95</v>
      </c>
    </row>
    <row r="99" spans="1:53" s="289" customFormat="1" ht="12" customHeight="1">
      <c r="B99" s="289" t="s">
        <v>1228</v>
      </c>
      <c r="G99" s="3541">
        <v>75000</v>
      </c>
      <c r="H99" s="3542"/>
      <c r="J99" s="3715"/>
      <c r="K99" s="3715"/>
      <c r="L99" s="2645"/>
      <c r="M99" s="3715"/>
      <c r="N99" s="3715"/>
      <c r="P99" s="3715"/>
      <c r="Q99" s="3715"/>
      <c r="S99" s="3541">
        <v>75000</v>
      </c>
      <c r="T99" s="3542"/>
      <c r="V99" s="2800"/>
      <c r="W99" s="3628"/>
      <c r="X99" s="3629"/>
      <c r="AZ99" s="1808"/>
      <c r="BA99" s="1773">
        <v>96</v>
      </c>
    </row>
    <row r="100" spans="1:53" s="289" customFormat="1" ht="12" customHeight="1">
      <c r="B100" s="289" t="s">
        <v>1230</v>
      </c>
      <c r="G100" s="3541"/>
      <c r="H100" s="3542"/>
      <c r="J100" s="3715"/>
      <c r="K100" s="3715"/>
      <c r="L100" s="2645"/>
      <c r="M100" s="3715"/>
      <c r="N100" s="3715"/>
      <c r="P100" s="3715"/>
      <c r="Q100" s="3715"/>
      <c r="S100" s="3541"/>
      <c r="T100" s="3542"/>
      <c r="V100" s="2800"/>
      <c r="W100" s="3628"/>
      <c r="X100" s="3629"/>
      <c r="AZ100" s="1808"/>
      <c r="BA100" s="1773">
        <v>97</v>
      </c>
    </row>
    <row r="101" spans="1:53" s="289" customFormat="1" ht="12" customHeight="1">
      <c r="B101" s="289" t="s">
        <v>2195</v>
      </c>
      <c r="G101" s="3541"/>
      <c r="H101" s="3542"/>
      <c r="J101" s="3715"/>
      <c r="K101" s="3715"/>
      <c r="L101" s="2645"/>
      <c r="M101" s="3715"/>
      <c r="N101" s="3715"/>
      <c r="P101" s="3715"/>
      <c r="Q101" s="3715"/>
      <c r="S101" s="3541"/>
      <c r="T101" s="3542"/>
      <c r="V101" s="2800"/>
      <c r="W101" s="3628"/>
      <c r="X101" s="3629"/>
      <c r="AZ101" s="1808"/>
      <c r="BA101" s="1773">
        <v>98</v>
      </c>
    </row>
    <row r="102" spans="1:53" s="289" customFormat="1" ht="12" customHeight="1" thickBot="1">
      <c r="A102" s="363" t="str">
        <f>IF(AND(G102&gt;0,OR(C102="",C102="&lt;Enter detailed description here; use Comments section if needed&gt;")),"X","")</f>
        <v/>
      </c>
      <c r="B102" s="170" t="s">
        <v>6585</v>
      </c>
      <c r="C102" s="3705" t="s">
        <v>3342</v>
      </c>
      <c r="D102" s="3705"/>
      <c r="E102" s="3705"/>
      <c r="F102" s="3706"/>
      <c r="G102" s="3545"/>
      <c r="H102" s="3546"/>
      <c r="J102" s="3715"/>
      <c r="K102" s="3715"/>
      <c r="L102" s="2645"/>
      <c r="M102" s="3715"/>
      <c r="N102" s="3715"/>
      <c r="P102" s="3715"/>
      <c r="Q102" s="3715"/>
      <c r="S102" s="3545"/>
      <c r="T102" s="3546"/>
      <c r="U102" s="362" t="str">
        <f>IF(AND(G102&gt;0,OR(C102="",C102="&lt;Enter detailed description here; use Comments section if needed&gt;")),"NO DESCRIPTION PROVIDED - please enter detailed description in Other box at left; use Comments section below if needed.","")</f>
        <v/>
      </c>
      <c r="V102" s="2800"/>
      <c r="W102" s="3630"/>
      <c r="X102" s="3631"/>
      <c r="AZ102" s="1808"/>
      <c r="BA102" s="1773">
        <v>99</v>
      </c>
    </row>
    <row r="103" spans="1:53" s="289" customFormat="1" ht="12" customHeight="1" thickTop="1">
      <c r="F103" s="338" t="s">
        <v>183</v>
      </c>
      <c r="G103" s="3707">
        <f>SUM(G97:G102)</f>
        <v>147890</v>
      </c>
      <c r="H103" s="3708"/>
      <c r="J103" s="3715"/>
      <c r="K103" s="3715"/>
      <c r="L103" s="340"/>
      <c r="M103" s="3715"/>
      <c r="N103" s="3715"/>
      <c r="P103" s="3715"/>
      <c r="Q103" s="3715"/>
      <c r="S103" s="3707">
        <f>SUM(S97:S102)</f>
        <v>147890</v>
      </c>
      <c r="T103" s="3708"/>
      <c r="V103" s="2802">
        <f>SUM(V97:V102)</f>
        <v>0</v>
      </c>
      <c r="W103" s="3646"/>
      <c r="X103" s="3647"/>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3"/>
      <c r="H105" s="3554"/>
      <c r="J105" s="340"/>
      <c r="K105" s="340"/>
      <c r="L105" s="2645"/>
      <c r="M105" s="340"/>
      <c r="N105" s="340"/>
      <c r="P105" s="340"/>
      <c r="Q105" s="340"/>
      <c r="S105" s="3553"/>
      <c r="T105" s="3554"/>
      <c r="V105" s="2800"/>
      <c r="W105" s="3628"/>
      <c r="X105" s="3629"/>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1">
        <v>7500</v>
      </c>
      <c r="H106" s="3542"/>
      <c r="J106" s="340"/>
      <c r="K106" s="340"/>
      <c r="L106" s="347"/>
      <c r="M106" s="340"/>
      <c r="N106" s="340"/>
      <c r="P106" s="340"/>
      <c r="Q106" s="340"/>
      <c r="S106" s="3541">
        <v>7500</v>
      </c>
      <c r="T106" s="3542"/>
      <c r="V106" s="2800"/>
      <c r="W106" s="3628"/>
      <c r="X106" s="3629"/>
      <c r="AZ106" s="1808" t="s">
        <v>6696</v>
      </c>
      <c r="BA106" s="1773">
        <v>106</v>
      </c>
    </row>
    <row r="107" spans="1:53" s="289" customFormat="1" ht="12.6" customHeight="1">
      <c r="B107" s="289" t="s">
        <v>3462</v>
      </c>
      <c r="G107" s="3541"/>
      <c r="H107" s="3542"/>
      <c r="J107" s="340"/>
      <c r="K107" s="340"/>
      <c r="L107" s="347"/>
      <c r="M107" s="340"/>
      <c r="N107" s="340"/>
      <c r="O107" s="2629"/>
      <c r="P107" s="340"/>
      <c r="Q107" s="340"/>
      <c r="S107" s="3541"/>
      <c r="T107" s="3542"/>
      <c r="V107" s="2800"/>
      <c r="W107" s="3628"/>
      <c r="X107" s="3629"/>
      <c r="AZ107" s="1808" t="s">
        <v>6697</v>
      </c>
      <c r="BA107" s="1773">
        <v>107</v>
      </c>
    </row>
    <row r="108" spans="1:53" s="289" customFormat="1" ht="12.6" customHeight="1">
      <c r="B108" s="289" t="s">
        <v>494</v>
      </c>
      <c r="E108" s="3722">
        <f>ROUNDUP('DCA Underwriting Assumptions'!$Q$93*J197,0)</f>
        <v>80000</v>
      </c>
      <c r="F108" s="3723"/>
      <c r="G108" s="3541">
        <v>80000</v>
      </c>
      <c r="H108" s="3542"/>
      <c r="J108" s="862" t="str">
        <f>IF(E108&gt;G108,"WARNING!  LIHTC Allocation Fee proposed is below minimum required.","")</f>
        <v/>
      </c>
      <c r="K108" s="340"/>
      <c r="L108" s="2645"/>
      <c r="M108" s="340"/>
      <c r="N108" s="340"/>
      <c r="O108" s="2629"/>
      <c r="P108" s="340"/>
      <c r="Q108" s="340"/>
      <c r="S108" s="3541">
        <v>80000</v>
      </c>
      <c r="T108" s="3542"/>
      <c r="V108" s="2800"/>
      <c r="W108" s="3628"/>
      <c r="X108" s="3629"/>
      <c r="AZ108" s="1808" t="s">
        <v>6698</v>
      </c>
      <c r="BA108" s="1773">
        <v>108</v>
      </c>
    </row>
    <row r="109" spans="1:53" s="289" customFormat="1" ht="12.6" customHeight="1">
      <c r="B109" s="289" t="s">
        <v>723</v>
      </c>
      <c r="E109" s="372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57600</v>
      </c>
      <c r="F109" s="3723"/>
      <c r="G109" s="3541">
        <v>57600</v>
      </c>
      <c r="H109" s="3542"/>
      <c r="I109" s="3757" t="str">
        <f>IF(E109&gt;G109,"WARNING!  LIHTC Compliance Fee proposed is below minimum required.","")</f>
        <v/>
      </c>
      <c r="J109" s="3758"/>
      <c r="K109" s="3758"/>
      <c r="L109" s="3758"/>
      <c r="M109" s="3758"/>
      <c r="N109" s="3758"/>
      <c r="O109" s="3758"/>
      <c r="P109" s="3758"/>
      <c r="Q109" s="3758"/>
      <c r="R109" s="3759"/>
      <c r="S109" s="3541">
        <v>57600</v>
      </c>
      <c r="T109" s="3542"/>
      <c r="V109" s="2800"/>
      <c r="W109" s="3628"/>
      <c r="X109" s="3629"/>
      <c r="AZ109" s="1808"/>
      <c r="BA109" s="1773">
        <v>109</v>
      </c>
    </row>
    <row r="110" spans="1:53" s="289" customFormat="1" ht="12.6" customHeight="1">
      <c r="B110" s="289" t="s">
        <v>3602</v>
      </c>
      <c r="F110" s="1034">
        <f>ROUNDUP('DCA Underwriting Assumptions'!$Q$95,0)</f>
        <v>0</v>
      </c>
      <c r="G110" s="3541"/>
      <c r="H110" s="3542"/>
      <c r="I110" s="3757"/>
      <c r="J110" s="3758"/>
      <c r="K110" s="3758"/>
      <c r="L110" s="3758"/>
      <c r="M110" s="3758"/>
      <c r="N110" s="3758"/>
      <c r="O110" s="3758"/>
      <c r="P110" s="3758"/>
      <c r="Q110" s="3758"/>
      <c r="R110" s="3759"/>
      <c r="S110" s="3541"/>
      <c r="T110" s="3542"/>
      <c r="V110" s="2800"/>
      <c r="W110" s="3628"/>
      <c r="X110" s="3629"/>
      <c r="AZ110" s="1808"/>
      <c r="BA110" s="1773">
        <v>110</v>
      </c>
    </row>
    <row r="111" spans="1:53" s="289" customFormat="1" ht="12.6" customHeight="1">
      <c r="B111" s="289" t="s">
        <v>3603</v>
      </c>
      <c r="F111" s="1034">
        <f>ROUNDUP('DCA Underwriting Assumptions'!$Q$128,0)</f>
        <v>3000</v>
      </c>
      <c r="G111" s="3541">
        <v>3000</v>
      </c>
      <c r="H111" s="3542"/>
      <c r="J111" s="267"/>
      <c r="K111" s="267"/>
      <c r="L111" s="267"/>
      <c r="M111" s="267"/>
      <c r="N111" s="267"/>
      <c r="O111" s="267"/>
      <c r="P111" s="267"/>
      <c r="Q111" s="267"/>
      <c r="S111" s="3541">
        <v>3000</v>
      </c>
      <c r="T111" s="3542"/>
      <c r="V111" s="2800"/>
      <c r="W111" s="3628"/>
      <c r="X111" s="3629"/>
      <c r="AZ111" s="1808"/>
      <c r="BA111" s="1773">
        <v>111</v>
      </c>
    </row>
    <row r="112" spans="1:53" s="289" customFormat="1" ht="12.6" customHeight="1">
      <c r="A112" s="363" t="str">
        <f>IF(AND(G112&gt;0,OR(C112="",C112="&lt;Enter detailed description here; use Comments section if needed&gt;")),"X","")</f>
        <v/>
      </c>
      <c r="B112" s="170" t="s">
        <v>6581</v>
      </c>
      <c r="C112" s="3724" t="s">
        <v>3342</v>
      </c>
      <c r="D112" s="3724"/>
      <c r="E112" s="3724"/>
      <c r="F112" s="3725"/>
      <c r="G112" s="3541"/>
      <c r="H112" s="3542"/>
      <c r="J112" s="267"/>
      <c r="K112" s="267"/>
      <c r="L112" s="267"/>
      <c r="M112" s="267"/>
      <c r="N112" s="267"/>
      <c r="O112" s="267"/>
      <c r="P112" s="267"/>
      <c r="Q112" s="267"/>
      <c r="S112" s="3541"/>
      <c r="T112" s="3542"/>
      <c r="U112" s="362" t="str">
        <f>IF(AND(G112&gt;0,OR(C112="",C112="&lt;Enter detailed description here; use Comments section if needed&gt;")),"NO DESCRIPTION PROVIDED - please enter detailed description in Other box at left; use Comments section below if needed.","")</f>
        <v/>
      </c>
      <c r="V112" s="2800"/>
      <c r="W112" s="3628"/>
      <c r="X112" s="3629"/>
      <c r="AZ112" s="1808"/>
      <c r="BA112" s="1773">
        <v>112</v>
      </c>
    </row>
    <row r="113" spans="1:53" s="289" customFormat="1" ht="12.6" customHeight="1" thickBot="1">
      <c r="A113" s="363" t="str">
        <f>IF(AND(G113&gt;0,OR(C113="",C113="&lt;Enter detailed description here; use Comments section if needed&gt;")),"X","")</f>
        <v/>
      </c>
      <c r="B113" s="170" t="s">
        <v>6581</v>
      </c>
      <c r="C113" s="3726" t="s">
        <v>3342</v>
      </c>
      <c r="D113" s="3726"/>
      <c r="E113" s="3726"/>
      <c r="F113" s="3727"/>
      <c r="G113" s="3545"/>
      <c r="H113" s="3546"/>
      <c r="J113" s="267"/>
      <c r="K113" s="267"/>
      <c r="L113" s="267"/>
      <c r="M113" s="267"/>
      <c r="N113" s="267"/>
      <c r="O113" s="267"/>
      <c r="P113" s="267"/>
      <c r="Q113" s="267"/>
      <c r="S113" s="3545"/>
      <c r="T113" s="3546"/>
      <c r="U113" s="362" t="str">
        <f>IF(AND(G113&gt;0,OR(C113="",C113="&lt;Enter detailed description here; use Comments section if needed&gt;")),"NO DESCRIPTION PROVIDED - please enter detailed description in Other box at left; use Comments section below if needed.","")</f>
        <v/>
      </c>
      <c r="V113" s="2800"/>
      <c r="W113" s="3630"/>
      <c r="X113" s="3631"/>
      <c r="AZ113" s="1808" t="s">
        <v>6699</v>
      </c>
      <c r="BA113" s="1773">
        <v>113</v>
      </c>
    </row>
    <row r="114" spans="1:53" s="289" customFormat="1" ht="12.6" customHeight="1" thickTop="1">
      <c r="F114" s="338" t="s">
        <v>183</v>
      </c>
      <c r="G114" s="3707">
        <f>SUM(G105:G113)</f>
        <v>148100</v>
      </c>
      <c r="H114" s="3708"/>
      <c r="J114" s="340"/>
      <c r="K114" s="340"/>
      <c r="L114" s="2645"/>
      <c r="M114" s="340"/>
      <c r="N114" s="340"/>
      <c r="P114" s="340"/>
      <c r="Q114" s="340"/>
      <c r="S114" s="3707">
        <f>SUM(S105:S113)</f>
        <v>148100</v>
      </c>
      <c r="T114" s="3708"/>
      <c r="V114" s="2802">
        <f>SUM(V105:V113)</f>
        <v>0</v>
      </c>
      <c r="W114" s="3632"/>
      <c r="X114" s="3633"/>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8"/>
      <c r="BA115" s="1773">
        <v>115</v>
      </c>
    </row>
    <row r="116" spans="1:53" s="289" customFormat="1" ht="12.6" customHeight="1">
      <c r="B116" s="289" t="s">
        <v>268</v>
      </c>
      <c r="G116" s="3553">
        <v>28000</v>
      </c>
      <c r="H116" s="3554"/>
      <c r="J116" s="3715"/>
      <c r="K116" s="3715"/>
      <c r="L116" s="2645"/>
      <c r="M116" s="3715"/>
      <c r="N116" s="3715"/>
      <c r="O116" s="2629"/>
      <c r="P116" s="3715"/>
      <c r="Q116" s="3715"/>
      <c r="S116" s="3553">
        <v>28000</v>
      </c>
      <c r="T116" s="3554"/>
      <c r="V116" s="2800"/>
      <c r="W116" s="3628"/>
      <c r="X116" s="3629"/>
      <c r="AZ116" s="2808"/>
      <c r="BA116" s="1773">
        <v>116</v>
      </c>
    </row>
    <row r="117" spans="1:53" s="289" customFormat="1" ht="12.6" customHeight="1">
      <c r="B117" s="289" t="s">
        <v>269</v>
      </c>
      <c r="G117" s="3541"/>
      <c r="H117" s="3542"/>
      <c r="J117" s="3715"/>
      <c r="K117" s="3715"/>
      <c r="L117" s="2645"/>
      <c r="M117" s="3715"/>
      <c r="N117" s="3715"/>
      <c r="O117" s="2629"/>
      <c r="P117" s="3715"/>
      <c r="Q117" s="3715"/>
      <c r="S117" s="3541"/>
      <c r="T117" s="3542"/>
      <c r="V117" s="2800"/>
      <c r="W117" s="3628"/>
      <c r="X117" s="3629"/>
      <c r="AZ117" s="2808"/>
      <c r="BA117" s="1773">
        <v>117</v>
      </c>
    </row>
    <row r="118" spans="1:53" s="289" customFormat="1" ht="12.6" customHeight="1">
      <c r="B118" s="289" t="s">
        <v>2279</v>
      </c>
      <c r="G118" s="3541"/>
      <c r="H118" s="3542"/>
      <c r="J118" s="3715"/>
      <c r="K118" s="3715"/>
      <c r="L118" s="2645"/>
      <c r="M118" s="3715"/>
      <c r="N118" s="3715"/>
      <c r="O118" s="2629"/>
      <c r="P118" s="3715"/>
      <c r="Q118" s="3715"/>
      <c r="S118" s="3541"/>
      <c r="T118" s="3542"/>
      <c r="V118" s="2800"/>
      <c r="W118" s="3628"/>
      <c r="X118" s="3629"/>
      <c r="AZ118" s="2808"/>
      <c r="BA118" s="1773">
        <v>118</v>
      </c>
    </row>
    <row r="119" spans="1:53" s="289" customFormat="1" ht="12.6" customHeight="1" thickBot="1">
      <c r="A119" s="363" t="str">
        <f>IF(AND(G119&gt;0,OR(C119="",C119="&lt;Enter detailed description here; use Comments section if needed&gt;")),"X","")</f>
        <v/>
      </c>
      <c r="B119" s="170" t="s">
        <v>6581</v>
      </c>
      <c r="C119" s="3705" t="s">
        <v>3342</v>
      </c>
      <c r="D119" s="3705"/>
      <c r="E119" s="3705"/>
      <c r="F119" s="3706"/>
      <c r="G119" s="3545"/>
      <c r="H119" s="3546"/>
      <c r="J119" s="3715"/>
      <c r="K119" s="3715"/>
      <c r="L119" s="2645"/>
      <c r="M119" s="3715"/>
      <c r="N119" s="3715"/>
      <c r="O119" s="2629"/>
      <c r="P119" s="3715"/>
      <c r="Q119" s="3715"/>
      <c r="S119" s="3545"/>
      <c r="T119" s="3546"/>
      <c r="U119" s="362" t="str">
        <f>IF(AND(G119&gt;0,OR(C119="",C119="&lt;Enter detailed description here; use Comments section if needed&gt;")),"NO DESCRIPTION PROVIDED - please enter detailed description in Other box at left; use Comments section below if needed.","")</f>
        <v/>
      </c>
      <c r="V119" s="2800"/>
      <c r="W119" s="3630"/>
      <c r="X119" s="3631"/>
      <c r="AZ119" s="2808"/>
      <c r="BA119" s="1773">
        <v>119</v>
      </c>
    </row>
    <row r="120" spans="1:53" s="289" customFormat="1" ht="12.6" customHeight="1" thickTop="1">
      <c r="F120" s="338" t="s">
        <v>183</v>
      </c>
      <c r="G120" s="3707">
        <f>SUM(G116:G119)</f>
        <v>28000</v>
      </c>
      <c r="H120" s="3708"/>
      <c r="J120" s="3715"/>
      <c r="K120" s="3715"/>
      <c r="L120" s="2645"/>
      <c r="M120" s="3715"/>
      <c r="N120" s="3715"/>
      <c r="O120" s="2629"/>
      <c r="P120" s="3715"/>
      <c r="Q120" s="3715"/>
      <c r="S120" s="3707">
        <f>SUM(S116:S119)</f>
        <v>28000</v>
      </c>
      <c r="T120" s="3708"/>
      <c r="V120" s="2802">
        <f>SUM(V116:V119)</f>
        <v>0</v>
      </c>
      <c r="W120" s="3646"/>
      <c r="X120" s="3647"/>
      <c r="AC120" s="3753" t="s">
        <v>4114</v>
      </c>
      <c r="AD120" s="3753" t="s">
        <v>4115</v>
      </c>
      <c r="AE120" s="3755" t="s">
        <v>4120</v>
      </c>
      <c r="AF120" s="3741" t="s">
        <v>4116</v>
      </c>
      <c r="AZ120" s="2808"/>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9" t="s">
        <v>4105</v>
      </c>
      <c r="Z121" s="1371"/>
      <c r="AA121" s="274" t="s">
        <v>4111</v>
      </c>
      <c r="AB121" s="274" t="s">
        <v>4112</v>
      </c>
      <c r="AC121" s="3754"/>
      <c r="AD121" s="3754"/>
      <c r="AE121" s="3756"/>
      <c r="AF121" s="3742"/>
      <c r="AI121" s="27"/>
      <c r="AK121" s="418"/>
      <c r="AZ121" s="2808" t="s">
        <v>6701</v>
      </c>
      <c r="BA121" s="1773">
        <v>121</v>
      </c>
    </row>
    <row r="122" spans="1:53" s="289" customFormat="1" ht="12.6" customHeight="1">
      <c r="B122" s="289" t="s">
        <v>1774</v>
      </c>
      <c r="F122" s="388">
        <f>IF($G$127=0,0,G122/$G$127)</f>
        <v>0.5</v>
      </c>
      <c r="G122" s="3712">
        <v>840000</v>
      </c>
      <c r="H122" s="3712"/>
      <c r="J122" s="3713">
        <v>840000</v>
      </c>
      <c r="K122" s="3714"/>
      <c r="L122" s="339"/>
      <c r="M122" s="3713"/>
      <c r="N122" s="3714"/>
      <c r="P122" s="3713"/>
      <c r="Q122" s="3714"/>
      <c r="S122" s="3713"/>
      <c r="T122" s="3714"/>
      <c r="V122" s="2800"/>
      <c r="W122" s="3628"/>
      <c r="X122" s="3629"/>
      <c r="Y122" s="157"/>
      <c r="Z122" s="2810">
        <v>0.09</v>
      </c>
      <c r="AA122" s="2811">
        <f>'DCA Underwriting Assumptions'!$J$105</f>
        <v>1</v>
      </c>
      <c r="AB122" s="2811">
        <f>'DCA Underwriting Assumptions'!$K$105</f>
        <v>50</v>
      </c>
      <c r="AC122" s="2812">
        <f>'DCA Underwriting Assumptions'!$Q$105</f>
        <v>25000</v>
      </c>
      <c r="AD122" s="2812">
        <f>AB122*AC122</f>
        <v>1250000</v>
      </c>
      <c r="AE122" s="2812">
        <f>IF('Part VI-Revenues &amp; Expenses'!$P$67&lt;AA123,'Part VI-Revenues &amp; Expenses'!$P$67*'Part IV-A-Uses of Funds'!AC122,AB122*AC122)</f>
        <v>1250000</v>
      </c>
      <c r="AF122" s="3743">
        <f>SUM(AE122:AE124)</f>
        <v>1680000</v>
      </c>
      <c r="AI122" s="27"/>
      <c r="AZ122" s="2808"/>
      <c r="BA122" s="1773">
        <v>122</v>
      </c>
    </row>
    <row r="123" spans="1:53" s="289" customFormat="1" ht="12.6" customHeight="1">
      <c r="B123" s="289" t="s">
        <v>3564</v>
      </c>
      <c r="F123" s="2813"/>
      <c r="V123" s="2800"/>
      <c r="W123" s="3628"/>
      <c r="X123" s="3629"/>
      <c r="Y123" s="157"/>
      <c r="Z123" s="119"/>
      <c r="AA123" s="2814">
        <f>'DCA Underwriting Assumptions'!$J$106</f>
        <v>51</v>
      </c>
      <c r="AB123" s="2814">
        <f>'DCA Underwriting Assumptions'!$K$106</f>
        <v>70</v>
      </c>
      <c r="AC123" s="2815">
        <f>'DCA Underwriting Assumptions'!$Q$106</f>
        <v>20000</v>
      </c>
      <c r="AD123" s="2815">
        <f>(AB123-AB122)*AC123</f>
        <v>400000</v>
      </c>
      <c r="AE123" s="2815">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744"/>
      <c r="AI123" s="27"/>
      <c r="AZ123" s="2808"/>
      <c r="BA123" s="1773">
        <v>123</v>
      </c>
    </row>
    <row r="124" spans="1:53" s="289" customFormat="1" ht="12.6" customHeight="1">
      <c r="B124" s="289" t="s">
        <v>1775</v>
      </c>
      <c r="F124" s="388">
        <f>IF($G$127=0,0,G124/$G$127)</f>
        <v>0</v>
      </c>
      <c r="G124" s="3553"/>
      <c r="H124" s="3554"/>
      <c r="J124" s="3553"/>
      <c r="K124" s="3554"/>
      <c r="L124" s="2645"/>
      <c r="M124" s="3553"/>
      <c r="N124" s="3554"/>
      <c r="P124" s="3553"/>
      <c r="Q124" s="3554"/>
      <c r="S124" s="3553"/>
      <c r="T124" s="3554"/>
      <c r="V124" s="2800"/>
      <c r="W124" s="3628"/>
      <c r="X124" s="3629"/>
      <c r="Y124" s="157"/>
      <c r="Z124" s="119"/>
      <c r="AA124" s="2816">
        <f>'DCA Underwriting Assumptions'!$J$107</f>
        <v>71</v>
      </c>
      <c r="AB124" s="2817"/>
      <c r="AC124" s="2818">
        <f>'DCA Underwriting Assumptions'!$Q$107</f>
        <v>15000</v>
      </c>
      <c r="AD124" s="2818">
        <f>AF130-AD123-AD122</f>
        <v>350000</v>
      </c>
      <c r="AE124" s="2818">
        <f>MIN(AD124,IF('Part VI-Revenues &amp; Expenses'!$P$67&gt;AB123,('Part VI-Revenues &amp; Expenses'!$P$67-AB123)*AC124,0))</f>
        <v>30000</v>
      </c>
      <c r="AF124" s="3745"/>
      <c r="AI124" s="27"/>
      <c r="AZ124" s="2808"/>
      <c r="BA124" s="1773">
        <v>124</v>
      </c>
    </row>
    <row r="125" spans="1:53" s="289" customFormat="1" ht="12.6" customHeight="1">
      <c r="B125" s="289" t="s">
        <v>3284</v>
      </c>
      <c r="F125" s="388">
        <f>IF($G$127=0,0,G125/$G$127)</f>
        <v>0</v>
      </c>
      <c r="G125" s="3541"/>
      <c r="H125" s="3542"/>
      <c r="J125" s="3541"/>
      <c r="K125" s="3542"/>
      <c r="L125" s="2645"/>
      <c r="M125" s="3541"/>
      <c r="N125" s="3542"/>
      <c r="P125" s="3541"/>
      <c r="Q125" s="3542"/>
      <c r="S125" s="3541"/>
      <c r="T125" s="3542"/>
      <c r="V125" s="2800"/>
      <c r="W125" s="3628"/>
      <c r="X125" s="3629"/>
      <c r="Y125" s="27"/>
      <c r="Z125" s="2810">
        <v>0.04</v>
      </c>
      <c r="AA125" s="2819">
        <f>'DCA Underwriting Assumptions'!$J$108</f>
        <v>1</v>
      </c>
      <c r="AB125" s="2819">
        <f>'DCA Underwriting Assumptions'!$K$108</f>
        <v>100</v>
      </c>
      <c r="AC125" s="2812">
        <f>'DCA Underwriting Assumptions'!$Q$108</f>
        <v>20500</v>
      </c>
      <c r="AD125" s="2812">
        <f>AB125*AC125</f>
        <v>2050000</v>
      </c>
      <c r="AE125" s="2812">
        <f>IF('Part VI-Revenues &amp; Expenses'!$P$67&lt;AA126,'Part VI-Revenues &amp; Expenses'!$P$67*'Part IV-A-Uses of Funds'!AC125,AB125*AC125)</f>
        <v>1476000</v>
      </c>
      <c r="AF125" s="3743">
        <f>SUM(AE125:AE127)</f>
        <v>1476000</v>
      </c>
      <c r="AG125" s="757">
        <f>51*AC125</f>
        <v>1045500</v>
      </c>
      <c r="AI125" s="27"/>
      <c r="AZ125" s="2808"/>
      <c r="BA125" s="1773">
        <v>125</v>
      </c>
    </row>
    <row r="126" spans="1:53" s="289" customFormat="1" ht="12.6" customHeight="1" thickBot="1">
      <c r="B126" s="289" t="s">
        <v>1767</v>
      </c>
      <c r="F126" s="388">
        <f>IF($G$127=0,0,G126/$G$127)</f>
        <v>0.5</v>
      </c>
      <c r="G126" s="3545">
        <v>840000</v>
      </c>
      <c r="H126" s="3546"/>
      <c r="J126" s="3545">
        <v>840000</v>
      </c>
      <c r="K126" s="3546"/>
      <c r="L126" s="2645"/>
      <c r="M126" s="3545"/>
      <c r="N126" s="3546"/>
      <c r="P126" s="3545"/>
      <c r="Q126" s="3546"/>
      <c r="S126" s="3545"/>
      <c r="T126" s="3546"/>
      <c r="V126" s="2800"/>
      <c r="W126" s="3630"/>
      <c r="X126" s="3631"/>
      <c r="Y126" s="27"/>
      <c r="Z126" s="80"/>
      <c r="AA126" s="2814">
        <f>'DCA Underwriting Assumptions'!$J$109</f>
        <v>101</v>
      </c>
      <c r="AB126" s="2814">
        <f>'DCA Underwriting Assumptions'!$K$109</f>
        <v>130</v>
      </c>
      <c r="AC126" s="2815">
        <f>'DCA Underwriting Assumptions'!$Q$109</f>
        <v>18500</v>
      </c>
      <c r="AD126" s="2815">
        <f>(AB126-AB125)*AC126</f>
        <v>555000</v>
      </c>
      <c r="AE126" s="281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4"/>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1680000</v>
      </c>
      <c r="F127" s="338" t="s">
        <v>183</v>
      </c>
      <c r="G127" s="3707">
        <f>SUM(G122:G126)</f>
        <v>1680000</v>
      </c>
      <c r="H127" s="3709"/>
      <c r="J127" s="3707">
        <f>SUM(J122:J126)</f>
        <v>1680000</v>
      </c>
      <c r="K127" s="3709"/>
      <c r="L127" s="2645"/>
      <c r="M127" s="3707">
        <f>SUM(M122:M126)</f>
        <v>0</v>
      </c>
      <c r="N127" s="3709"/>
      <c r="P127" s="3707">
        <f>SUM(P122:P126)</f>
        <v>0</v>
      </c>
      <c r="Q127" s="3709"/>
      <c r="S127" s="3707">
        <f>SUM(S122:S126)</f>
        <v>0</v>
      </c>
      <c r="T127" s="3709"/>
      <c r="V127" s="2802">
        <f>SUM(V122:V126)</f>
        <v>0</v>
      </c>
      <c r="W127" s="3646"/>
      <c r="X127" s="3647"/>
      <c r="Y127" s="27"/>
      <c r="Z127" s="80"/>
      <c r="AA127" s="2816">
        <f>'DCA Underwriting Assumptions'!$J$110</f>
        <v>131</v>
      </c>
      <c r="AB127" s="2817"/>
      <c r="AC127" s="2818">
        <f>'DCA Underwriting Assumptions'!$Q$110</f>
        <v>14000</v>
      </c>
      <c r="AD127" s="2818">
        <f>AF131-AD126-AD125</f>
        <v>895000</v>
      </c>
      <c r="AE127" s="2818">
        <f>MIN(AD127,IF('Part VI-Revenues &amp; Expenses'!$P$67&gt;AB126,('Part VI-Revenues &amp; Expenses'!$P$67-AB126)*AC127,0))</f>
        <v>0</v>
      </c>
      <c r="AF127" s="3745"/>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20"/>
      <c r="Z128" s="1390"/>
      <c r="AB128" s="2820"/>
      <c r="AC128" s="27"/>
      <c r="AD128" s="27"/>
      <c r="AF128" s="27"/>
      <c r="AG128" s="27"/>
      <c r="AH128" s="27"/>
      <c r="AI128" s="27"/>
      <c r="AJ128" s="27"/>
      <c r="AK128" s="27"/>
      <c r="AZ128" s="1808" t="s">
        <v>6702</v>
      </c>
      <c r="BA128" s="1773">
        <v>128</v>
      </c>
    </row>
    <row r="129" spans="1:53" s="289" customFormat="1" ht="12.6" customHeight="1">
      <c r="B129" s="289" t="s">
        <v>240</v>
      </c>
      <c r="G129" s="3553">
        <v>50000</v>
      </c>
      <c r="H129" s="3554"/>
      <c r="J129" s="348"/>
      <c r="K129" s="348"/>
      <c r="L129" s="348"/>
      <c r="M129" s="348"/>
      <c r="N129" s="348"/>
      <c r="P129" s="348"/>
      <c r="Q129" s="348"/>
      <c r="S129" s="3553">
        <v>50000</v>
      </c>
      <c r="T129" s="3554"/>
      <c r="V129" s="2800"/>
      <c r="W129" s="3628"/>
      <c r="X129" s="3629"/>
      <c r="Y129" s="1371" t="s">
        <v>4107</v>
      </c>
      <c r="Z129" s="1390"/>
      <c r="AB129" s="2820"/>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83895.5</v>
      </c>
      <c r="G130" s="3541">
        <v>83896</v>
      </c>
      <c r="H130" s="3542"/>
      <c r="J130" s="864" t="str">
        <f>IF(E130&gt;G130,"WARNING! Rent-Up Reserves proposed is below minimum - add comment.","")</f>
        <v/>
      </c>
      <c r="K130" s="864"/>
      <c r="L130" s="2645"/>
      <c r="M130" s="838"/>
      <c r="N130" s="838"/>
      <c r="O130" s="2629"/>
      <c r="P130" s="838"/>
      <c r="Q130" s="838"/>
      <c r="R130" s="2629"/>
      <c r="S130" s="3541">
        <v>83896</v>
      </c>
      <c r="T130" s="3542"/>
      <c r="V130" s="2800"/>
      <c r="W130" s="3628"/>
      <c r="X130" s="3629"/>
      <c r="Y130" s="27"/>
      <c r="Z130" s="2821">
        <v>0.09</v>
      </c>
      <c r="AB130" s="1371"/>
      <c r="AD130" s="27"/>
      <c r="AF130" s="2822">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238424.25214869034</v>
      </c>
      <c r="G131" s="3541">
        <v>238424</v>
      </c>
      <c r="H131" s="3542"/>
      <c r="J131" s="864" t="str">
        <f>IF(E131&gt;G131,"WARNING! ODR proposed is below minimum - add comment.","")</f>
        <v/>
      </c>
      <c r="K131" s="347"/>
      <c r="L131" s="347"/>
      <c r="M131" s="347"/>
      <c r="N131" s="347"/>
      <c r="O131" s="2629"/>
      <c r="P131" s="347"/>
      <c r="Q131" s="347"/>
      <c r="R131" s="2629"/>
      <c r="S131" s="3541">
        <v>238424</v>
      </c>
      <c r="T131" s="3542"/>
      <c r="V131" s="2800"/>
      <c r="W131" s="3628"/>
      <c r="X131" s="3629"/>
      <c r="Y131" s="27"/>
      <c r="Z131" s="2821">
        <v>0.04</v>
      </c>
      <c r="AB131" s="1371"/>
      <c r="AD131" s="27"/>
      <c r="AF131" s="2822">
        <f>'DCA Underwriting Assumptions'!$Q$113</f>
        <v>3500000</v>
      </c>
      <c r="AG131" s="27"/>
      <c r="AH131" s="27"/>
      <c r="AI131" s="27"/>
      <c r="AZ131" s="1808"/>
      <c r="BA131" s="1773">
        <v>131</v>
      </c>
    </row>
    <row r="132" spans="1:53" s="289" customFormat="1" ht="12.6" customHeight="1">
      <c r="B132" s="289" t="s">
        <v>1198</v>
      </c>
      <c r="G132" s="3541"/>
      <c r="H132" s="3542"/>
      <c r="J132" s="348"/>
      <c r="K132" s="348"/>
      <c r="L132" s="348"/>
      <c r="M132" s="348"/>
      <c r="N132" s="348"/>
      <c r="P132" s="348"/>
      <c r="Q132" s="348"/>
      <c r="S132" s="3541"/>
      <c r="T132" s="3542"/>
      <c r="V132" s="2800"/>
      <c r="W132" s="3628"/>
      <c r="X132" s="3629"/>
      <c r="AZ132" s="1808" t="s">
        <v>6704</v>
      </c>
      <c r="BA132" s="1773">
        <v>132</v>
      </c>
    </row>
    <row r="133" spans="1:53" s="289" customFormat="1" ht="12.6" customHeight="1">
      <c r="B133" s="289" t="s">
        <v>1199</v>
      </c>
      <c r="E133" s="753" t="s">
        <v>3258</v>
      </c>
      <c r="F133" s="438">
        <f>IF('Part VI-Revenues &amp; Expenses'!$P$67=0,0,G133/'Part VI-Revenues &amp; Expenses'!$P$67)</f>
        <v>1736.1111111111111</v>
      </c>
      <c r="G133" s="3541">
        <v>125000</v>
      </c>
      <c r="H133" s="3542"/>
      <c r="J133" s="3553">
        <v>125000</v>
      </c>
      <c r="K133" s="3554"/>
      <c r="L133" s="2645"/>
      <c r="M133" s="3553"/>
      <c r="N133" s="3554"/>
      <c r="P133" s="3553"/>
      <c r="Q133" s="3554"/>
      <c r="S133" s="3541"/>
      <c r="T133" s="3542"/>
      <c r="V133" s="2800"/>
      <c r="W133" s="3628"/>
      <c r="X133" s="3629"/>
      <c r="AZ133" s="1808" t="s">
        <v>6705</v>
      </c>
      <c r="BA133" s="1773">
        <v>133</v>
      </c>
    </row>
    <row r="134" spans="1:53" s="289" customFormat="1" ht="12.6" customHeight="1" thickBot="1">
      <c r="A134" s="363" t="str">
        <f>IF(AND(G134&gt;0,OR(C134="",C134="&lt;Enter detailed description here; use Comments section if needed&gt;")),"X","")</f>
        <v/>
      </c>
      <c r="B134" s="170" t="s">
        <v>6581</v>
      </c>
      <c r="C134" s="3705" t="s">
        <v>2897</v>
      </c>
      <c r="D134" s="3705"/>
      <c r="E134" s="3705"/>
      <c r="F134" s="3706"/>
      <c r="G134" s="3545">
        <v>60000</v>
      </c>
      <c r="H134" s="3546"/>
      <c r="J134" s="3710"/>
      <c r="K134" s="3711"/>
      <c r="L134" s="2645"/>
      <c r="M134" s="3545"/>
      <c r="N134" s="3546"/>
      <c r="P134" s="3545"/>
      <c r="Q134" s="3546"/>
      <c r="S134" s="3545">
        <v>60000</v>
      </c>
      <c r="T134" s="3546"/>
      <c r="U134" s="362" t="str">
        <f>IF(AND(G134&gt;0,OR(C134="",C134="&lt;Enter detailed description here; use Comments section if needed&gt;")),"NO DESCRIPTION PROVIDED - please enter detailed description in Other box at left; use Comments section below if needed.","")</f>
        <v/>
      </c>
      <c r="V134" s="2800"/>
      <c r="W134" s="3630"/>
      <c r="X134" s="3631"/>
      <c r="AZ134" s="1808"/>
      <c r="BA134" s="1773">
        <v>134</v>
      </c>
    </row>
    <row r="135" spans="1:53" s="289" customFormat="1" ht="12.6" customHeight="1" thickTop="1">
      <c r="B135" s="349"/>
      <c r="F135" s="338" t="s">
        <v>183</v>
      </c>
      <c r="G135" s="3707">
        <f>SUM(G129:G134)</f>
        <v>557320</v>
      </c>
      <c r="H135" s="3708"/>
      <c r="J135" s="3707">
        <f>SUM(J133:J134)</f>
        <v>125000</v>
      </c>
      <c r="K135" s="3708"/>
      <c r="L135" s="2645"/>
      <c r="M135" s="3707">
        <f>SUM(M133:M134)</f>
        <v>0</v>
      </c>
      <c r="N135" s="3708"/>
      <c r="P135" s="3707">
        <f>SUM(P133:P134)</f>
        <v>0</v>
      </c>
      <c r="Q135" s="3708"/>
      <c r="S135" s="3707">
        <f>SUM(S129:S134)</f>
        <v>432320</v>
      </c>
      <c r="T135" s="3708"/>
      <c r="V135" s="2802">
        <f>SUM(V129:V134)</f>
        <v>0</v>
      </c>
      <c r="W135" s="3646"/>
      <c r="X135" s="3647"/>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9"/>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9"/>
      <c r="I139" s="2629"/>
      <c r="J139" s="3690" t="s">
        <v>260</v>
      </c>
      <c r="K139" s="3691"/>
      <c r="L139" s="337"/>
      <c r="M139" s="3716" t="s">
        <v>468</v>
      </c>
      <c r="N139" s="3717"/>
      <c r="P139" s="3690" t="s">
        <v>261</v>
      </c>
      <c r="Q139" s="3691"/>
      <c r="S139" s="3690" t="s">
        <v>262</v>
      </c>
      <c r="T139" s="3691"/>
      <c r="V139" s="411" t="str">
        <f>B139</f>
        <v>DEVELOPMENT BUDGET  (cont'd)</v>
      </c>
      <c r="AZ139" s="1808"/>
      <c r="BA139" s="1773">
        <v>102</v>
      </c>
    </row>
    <row r="140" spans="1:53" s="289" customFormat="1" ht="18" customHeight="1" thickBot="1">
      <c r="G140" s="3720" t="s">
        <v>94</v>
      </c>
      <c r="H140" s="3721"/>
      <c r="J140" s="3692"/>
      <c r="K140" s="3693"/>
      <c r="L140" s="337"/>
      <c r="M140" s="3718"/>
      <c r="N140" s="3719"/>
      <c r="P140" s="3692"/>
      <c r="Q140" s="3693"/>
      <c r="S140" s="3692"/>
      <c r="T140" s="3693"/>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3"/>
      <c r="H142" s="3554"/>
      <c r="J142" s="3553"/>
      <c r="K142" s="3554"/>
      <c r="L142" s="339"/>
      <c r="M142" s="3553"/>
      <c r="N142" s="3554"/>
      <c r="P142" s="3553"/>
      <c r="Q142" s="3554"/>
      <c r="S142" s="3553"/>
      <c r="T142" s="3554"/>
      <c r="V142" s="2800"/>
      <c r="W142" s="3628"/>
      <c r="X142" s="3629"/>
      <c r="AZ142" s="1808"/>
      <c r="BA142" s="1773">
        <v>137</v>
      </c>
    </row>
    <row r="143" spans="1:53" s="289" customFormat="1" ht="12.6" customHeight="1" thickBot="1">
      <c r="A143" s="363" t="str">
        <f>IF(AND(G143&gt;0,OR(C143="",C143="&lt;Enter detailed description here; use Comments section if needed&gt;")),"X","")</f>
        <v/>
      </c>
      <c r="B143" s="170" t="s">
        <v>6581</v>
      </c>
      <c r="C143" s="3705" t="s">
        <v>3342</v>
      </c>
      <c r="D143" s="3705"/>
      <c r="E143" s="3705"/>
      <c r="F143" s="3706"/>
      <c r="G143" s="3545"/>
      <c r="H143" s="3546"/>
      <c r="J143" s="3545"/>
      <c r="K143" s="3546"/>
      <c r="L143" s="2645"/>
      <c r="M143" s="3545"/>
      <c r="N143" s="3546"/>
      <c r="P143" s="3545"/>
      <c r="Q143" s="3546"/>
      <c r="S143" s="3545"/>
      <c r="T143" s="3546"/>
      <c r="U143" s="362" t="str">
        <f>IF(AND(G143&gt;0,OR(C143="",C143="&lt;Enter detailed description here; use Comments section if needed&gt;")),"NO DESCRIPTION PROVIDED - please enter detailed description in Other box at left; use Comments section below if needed.","")</f>
        <v/>
      </c>
      <c r="V143" s="2800"/>
      <c r="W143" s="3630"/>
      <c r="X143" s="3631"/>
      <c r="AZ143" s="1808"/>
      <c r="BA143" s="1773">
        <v>138</v>
      </c>
    </row>
    <row r="144" spans="1:53" s="289" customFormat="1" ht="12.6" customHeight="1" thickTop="1">
      <c r="C144" s="2620"/>
      <c r="F144" s="338" t="s">
        <v>183</v>
      </c>
      <c r="G144" s="3707">
        <f>SUM(G142:G143)</f>
        <v>0</v>
      </c>
      <c r="H144" s="3708"/>
      <c r="J144" s="3707">
        <f>SUM(J142:J143)</f>
        <v>0</v>
      </c>
      <c r="K144" s="3708"/>
      <c r="L144" s="2645"/>
      <c r="M144" s="3707">
        <f>SUM(M142:M143)</f>
        <v>0</v>
      </c>
      <c r="N144" s="3708"/>
      <c r="P144" s="3707">
        <f>SUM(P142:P143)</f>
        <v>0</v>
      </c>
      <c r="Q144" s="3708"/>
      <c r="S144" s="3707">
        <f>SUM(S142:S143)</f>
        <v>0</v>
      </c>
      <c r="T144" s="3708"/>
      <c r="V144" s="2802">
        <f>SUM(V142:V143)</f>
        <v>0</v>
      </c>
      <c r="W144" s="3646"/>
      <c r="X144" s="3647"/>
      <c r="AZ144" s="1808"/>
      <c r="BA144" s="1773">
        <v>139</v>
      </c>
    </row>
    <row r="145" spans="1:53" s="289" customFormat="1" ht="15" customHeight="1" thickBot="1">
      <c r="C145" s="2620"/>
      <c r="H145" s="345"/>
      <c r="I145" s="345"/>
      <c r="L145" s="2629"/>
      <c r="V145" s="935"/>
      <c r="W145" s="2823"/>
      <c r="X145" s="2824"/>
      <c r="AZ145" s="1808"/>
      <c r="BA145" s="1773">
        <v>140</v>
      </c>
    </row>
    <row r="146" spans="1:53" s="289" customFormat="1" ht="18.75" customHeight="1" thickBot="1">
      <c r="B146" s="1782" t="s">
        <v>6819</v>
      </c>
      <c r="E146" s="753"/>
      <c r="F146" s="1394"/>
      <c r="G146" s="3698">
        <f>G18+G24+G28+G36+G41+G46+G55+G73+G86+G92+G103+G114+G120+G127+G135+G144</f>
        <v>15931770.43</v>
      </c>
      <c r="H146" s="3699"/>
      <c r="J146" s="3698">
        <f>J18+J24+J28+J36+J41+J46+J55+J73+J86+J92+J103+J114+J120+J127+J135+J144</f>
        <v>13900224.43</v>
      </c>
      <c r="K146" s="3699"/>
      <c r="M146" s="3698">
        <f>M18+M24+M28+M36+M41+M46+M55+M73+M86+M92+M103+M114+M120+M127+M135+M144</f>
        <v>0</v>
      </c>
      <c r="N146" s="3699"/>
      <c r="P146" s="3698">
        <f>P18+P24+P28+P36+P41+P46+P55+P73+P86+P92+P103+P114+P120+P127+P135+P144</f>
        <v>0</v>
      </c>
      <c r="Q146" s="3699"/>
      <c r="S146" s="3698">
        <f>S18+S24+S28+S36+S41+S46+S55+S73+S86+S92+S103+S114+S120+S127+S135+S144</f>
        <v>2031546</v>
      </c>
      <c r="T146" s="3699"/>
      <c r="V146" s="2825">
        <f>V18+V24+V28+V36+V41+V46+V55+V73+V86+V92+V103+V114+V120+V127+V135+V144</f>
        <v>0</v>
      </c>
      <c r="W146" s="3700"/>
      <c r="X146" s="3647"/>
      <c r="AZ146" s="1808"/>
      <c r="BA146" s="1773">
        <v>141</v>
      </c>
    </row>
    <row r="147" spans="1:53" s="289" customFormat="1" ht="12" customHeight="1">
      <c r="C147" s="2620"/>
      <c r="H147" s="345"/>
      <c r="I147" s="345"/>
      <c r="L147" s="2629"/>
      <c r="V147" s="935"/>
      <c r="AZ147" s="1808"/>
      <c r="BA147" s="1773">
        <v>142</v>
      </c>
    </row>
    <row r="148" spans="1:53" s="289" customFormat="1" ht="14.1" customHeight="1">
      <c r="B148" s="472" t="s">
        <v>2594</v>
      </c>
      <c r="C148" s="470"/>
      <c r="D148" s="3687">
        <f>IF('Part VI-Revenues &amp; Expenses'!$P$67=0,0,G146/'Part VI-Revenues &amp; Expenses'!$P$67)</f>
        <v>221274.58930555556</v>
      </c>
      <c r="E148" s="3687"/>
      <c r="F148" s="471" t="s">
        <v>2593</v>
      </c>
      <c r="G148" s="3688">
        <f>IF('Part I-Project Information'!$P$70=0,0,G146/'Part I-Project Information'!$P$70)</f>
        <v>228.95738143826168</v>
      </c>
      <c r="H148" s="3689"/>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5"/>
      <c r="E150" s="2645"/>
      <c r="F150" s="2645"/>
      <c r="G150" s="2629"/>
      <c r="H150" s="2629"/>
      <c r="I150" s="352"/>
      <c r="J150" s="3690" t="s">
        <v>260</v>
      </c>
      <c r="K150" s="3691"/>
      <c r="M150" s="3690" t="s">
        <v>93</v>
      </c>
      <c r="N150" s="3691"/>
      <c r="P150" s="3690" t="s">
        <v>261</v>
      </c>
      <c r="Q150" s="3691"/>
      <c r="V150" s="935"/>
      <c r="W150" s="411" t="str">
        <f>B150</f>
        <v>TAX CREDIT CALCULATION - BASIS METHOD</v>
      </c>
      <c r="AZ150" s="1808"/>
      <c r="BA150" s="1808"/>
    </row>
    <row r="151" spans="1:53" s="289" customFormat="1" ht="15" customHeight="1" thickBot="1">
      <c r="B151" s="294" t="s">
        <v>1952</v>
      </c>
      <c r="D151" s="2645"/>
      <c r="E151" s="2645"/>
      <c r="I151" s="352"/>
      <c r="J151" s="3692"/>
      <c r="K151" s="3693"/>
      <c r="L151" s="772"/>
      <c r="M151" s="3692"/>
      <c r="N151" s="3693"/>
      <c r="P151" s="3692"/>
      <c r="Q151" s="3693"/>
      <c r="V151" s="935"/>
      <c r="W151" s="289" t="str">
        <f>B151</f>
        <v>Subtractions From Eligible Basis</v>
      </c>
      <c r="X151" s="325"/>
      <c r="AZ151" s="1808"/>
      <c r="BA151" s="1808"/>
    </row>
    <row r="152" spans="1:53" s="289" customFormat="1" ht="6" customHeight="1">
      <c r="D152" s="2620"/>
      <c r="E152" s="2620"/>
      <c r="I152" s="345"/>
      <c r="J152" s="345"/>
      <c r="K152" s="351"/>
      <c r="L152" s="2621"/>
      <c r="P152" s="2629"/>
      <c r="V152" s="935"/>
      <c r="AZ152" s="1808"/>
      <c r="BA152" s="1808"/>
    </row>
    <row r="153" spans="1:53" s="289" customFormat="1" ht="14.1" customHeight="1">
      <c r="B153" s="2620" t="s">
        <v>137</v>
      </c>
      <c r="D153" s="2629"/>
      <c r="E153" s="2629"/>
      <c r="F153" s="2629"/>
      <c r="G153" s="2629"/>
      <c r="H153" s="2629"/>
      <c r="I153" s="352"/>
      <c r="J153" s="3694"/>
      <c r="K153" s="3695"/>
      <c r="P153" s="3694"/>
      <c r="Q153" s="3695"/>
      <c r="V153" s="2800"/>
      <c r="W153" s="3628"/>
      <c r="X153" s="3629"/>
      <c r="AZ153" s="1808"/>
      <c r="BA153" s="1808"/>
    </row>
    <row r="154" spans="1:53" s="289" customFormat="1" ht="14.1" customHeight="1">
      <c r="B154" s="2629" t="s">
        <v>2058</v>
      </c>
      <c r="D154" s="2629"/>
      <c r="E154" s="2629"/>
      <c r="F154" s="2629"/>
      <c r="G154" s="2629"/>
      <c r="H154" s="2629"/>
      <c r="I154" s="352"/>
      <c r="J154" s="3696"/>
      <c r="K154" s="3697"/>
      <c r="P154" s="3696"/>
      <c r="Q154" s="3697"/>
      <c r="V154" s="2800"/>
      <c r="W154" s="3628"/>
      <c r="X154" s="3629"/>
      <c r="AZ154" s="1808"/>
      <c r="BA154" s="1808"/>
    </row>
    <row r="155" spans="1:53" s="289" customFormat="1" ht="14.1" customHeight="1">
      <c r="B155" s="2629" t="s">
        <v>1777</v>
      </c>
      <c r="D155" s="2629"/>
      <c r="E155" s="2629"/>
      <c r="I155" s="352"/>
      <c r="J155" s="3696"/>
      <c r="K155" s="3697"/>
      <c r="P155" s="3696"/>
      <c r="Q155" s="3697"/>
      <c r="V155" s="2800"/>
      <c r="W155" s="3628"/>
      <c r="X155" s="3629"/>
      <c r="AZ155" s="1808"/>
      <c r="BA155" s="1808"/>
    </row>
    <row r="156" spans="1:53" s="289" customFormat="1" ht="14.1" customHeight="1">
      <c r="B156" s="2629" t="s">
        <v>1778</v>
      </c>
      <c r="D156" s="2629"/>
      <c r="E156" s="2629"/>
      <c r="I156" s="352"/>
      <c r="J156" s="3696"/>
      <c r="K156" s="3697"/>
      <c r="P156" s="3696"/>
      <c r="Q156" s="3697"/>
      <c r="V156" s="2800"/>
      <c r="W156" s="3628"/>
      <c r="X156" s="3629"/>
      <c r="AZ156" s="1808"/>
      <c r="BA156" s="1808"/>
    </row>
    <row r="157" spans="1:53" s="289" customFormat="1" ht="14.1" customHeight="1">
      <c r="B157" s="2629" t="s">
        <v>243</v>
      </c>
      <c r="D157" s="2629"/>
      <c r="E157" s="2629"/>
      <c r="I157" s="352"/>
      <c r="J157" s="3696"/>
      <c r="K157" s="3697"/>
      <c r="P157" s="3696"/>
      <c r="Q157" s="3697"/>
      <c r="V157" s="2800"/>
      <c r="W157" s="3628"/>
      <c r="X157" s="3629"/>
      <c r="AZ157" s="1808"/>
      <c r="BA157" s="1808"/>
    </row>
    <row r="158" spans="1:53" s="289" customFormat="1" ht="14.1" customHeight="1" thickBot="1">
      <c r="B158" s="2629" t="s">
        <v>1535</v>
      </c>
      <c r="C158" s="3701" t="s">
        <v>2305</v>
      </c>
      <c r="D158" s="3701"/>
      <c r="E158" s="3701"/>
      <c r="F158" s="3701"/>
      <c r="G158" s="3701"/>
      <c r="H158" s="3701"/>
      <c r="I158" s="3702"/>
      <c r="J158" s="3703"/>
      <c r="K158" s="3704"/>
      <c r="P158" s="3703"/>
      <c r="Q158" s="3704"/>
      <c r="V158" s="2800"/>
      <c r="W158" s="3630"/>
      <c r="X158" s="3631"/>
      <c r="AZ158" s="1808"/>
      <c r="BA158" s="1808"/>
    </row>
    <row r="159" spans="1:53" s="289" customFormat="1" ht="14.1" customHeight="1" thickBot="1">
      <c r="B159" s="299" t="s">
        <v>1779</v>
      </c>
      <c r="C159" s="302"/>
      <c r="J159" s="3492">
        <f>SUM(J153:K158)</f>
        <v>0</v>
      </c>
      <c r="K159" s="3493"/>
      <c r="P159" s="3492">
        <f>SUM(P153:Q158)</f>
        <v>0</v>
      </c>
      <c r="Q159" s="3493"/>
      <c r="V159" s="2802">
        <f>SUM(V153:V158)</f>
        <v>0</v>
      </c>
      <c r="W159" s="3646"/>
      <c r="X159" s="3647"/>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49">
        <f>J146</f>
        <v>13900224.43</v>
      </c>
      <c r="K162" s="3750"/>
      <c r="M162" s="3751">
        <f>M146</f>
        <v>0</v>
      </c>
      <c r="N162" s="3752"/>
      <c r="P162" s="3749">
        <f>P146</f>
        <v>0</v>
      </c>
      <c r="Q162" s="3750"/>
      <c r="R162" s="3635" t="s">
        <v>3931</v>
      </c>
      <c r="S162" s="3636"/>
      <c r="T162" s="3636"/>
      <c r="V162" s="2800"/>
      <c r="W162" s="3628"/>
      <c r="X162" s="3629"/>
      <c r="AZ162" s="1808"/>
      <c r="BA162" s="1808"/>
    </row>
    <row r="163" spans="1:53" s="289" customFormat="1" ht="14.1" customHeight="1">
      <c r="B163" s="289" t="s">
        <v>2119</v>
      </c>
      <c r="J163" s="3667">
        <f>J159</f>
        <v>0</v>
      </c>
      <c r="K163" s="3675"/>
      <c r="M163" s="3668"/>
      <c r="N163" s="3668"/>
      <c r="P163" s="3667">
        <f>P159</f>
        <v>0</v>
      </c>
      <c r="Q163" s="3675"/>
      <c r="R163" s="3635"/>
      <c r="S163" s="3636"/>
      <c r="T163" s="3636"/>
      <c r="U163" s="1249"/>
      <c r="V163" s="2800"/>
      <c r="W163" s="3628"/>
      <c r="X163" s="3629"/>
      <c r="AZ163" s="1808"/>
      <c r="BA163" s="1808"/>
    </row>
    <row r="164" spans="1:53" s="289" customFormat="1" ht="14.1" customHeight="1">
      <c r="B164" s="289" t="s">
        <v>2120</v>
      </c>
      <c r="J164" s="3667">
        <f>J162-J163</f>
        <v>13900224.43</v>
      </c>
      <c r="K164" s="3675"/>
      <c r="M164" s="3667">
        <f>M162</f>
        <v>0</v>
      </c>
      <c r="N164" s="3675"/>
      <c r="P164" s="3667">
        <f>P162-P163</f>
        <v>0</v>
      </c>
      <c r="Q164" s="3675"/>
      <c r="R164" s="3635"/>
      <c r="S164" s="3636"/>
      <c r="T164" s="3636"/>
      <c r="U164" s="1249"/>
      <c r="V164" s="2800"/>
      <c r="W164" s="3628"/>
      <c r="X164" s="3629"/>
      <c r="AZ164" s="1808"/>
      <c r="BA164" s="1808"/>
    </row>
    <row r="165" spans="1:53" s="289" customFormat="1" ht="14.1" customHeight="1">
      <c r="B165" s="289" t="s">
        <v>1426</v>
      </c>
      <c r="G165" s="2624" t="s">
        <v>1637</v>
      </c>
      <c r="H165" s="3363" t="s">
        <v>6979</v>
      </c>
      <c r="I165" s="3364"/>
      <c r="J165" s="3680">
        <v>1</v>
      </c>
      <c r="K165" s="3681"/>
      <c r="M165" s="3682"/>
      <c r="N165" s="3682"/>
      <c r="P165" s="3680"/>
      <c r="Q165" s="3681"/>
      <c r="R165" s="3637" t="s">
        <v>6978</v>
      </c>
      <c r="S165" s="3638"/>
      <c r="T165" s="3639"/>
      <c r="U165" s="1250"/>
      <c r="V165" s="2800"/>
      <c r="W165" s="3628"/>
      <c r="X165" s="3629"/>
      <c r="AZ165" s="1808"/>
      <c r="BA165" s="1808"/>
    </row>
    <row r="166" spans="1:53" s="289" customFormat="1" ht="14.1" customHeight="1">
      <c r="B166" s="289" t="s">
        <v>1962</v>
      </c>
      <c r="J166" s="3667">
        <f>J164*J165</f>
        <v>13900224.43</v>
      </c>
      <c r="K166" s="3675"/>
      <c r="M166" s="3667">
        <f>+M164</f>
        <v>0</v>
      </c>
      <c r="N166" s="3675"/>
      <c r="P166" s="3667">
        <f>P164*P165</f>
        <v>0</v>
      </c>
      <c r="Q166" s="3675"/>
      <c r="R166" s="3640"/>
      <c r="S166" s="3641"/>
      <c r="T166" s="3642"/>
      <c r="U166" s="1250"/>
      <c r="V166" s="2800"/>
      <c r="W166" s="3628"/>
      <c r="X166" s="3629"/>
      <c r="AZ166" s="1808"/>
      <c r="BA166" s="1808"/>
    </row>
    <row r="167" spans="1:53" s="289" customFormat="1" ht="14.1" customHeight="1">
      <c r="B167" s="289" t="s">
        <v>2423</v>
      </c>
      <c r="J167" s="3683">
        <f>MIN('Part VI-Revenues &amp; Expenses'!$P$63/'Part VI-Revenues &amp; Expenses'!$P$65,'Part VI-Revenues &amp; Expenses'!$P$164/'Part VI-Revenues &amp; Expenses'!$P$166)</f>
        <v>0.88888888888888884</v>
      </c>
      <c r="K167" s="3684"/>
      <c r="M167" s="3683">
        <f>MIN('Part VI-Revenues &amp; Expenses'!$P$63/'Part VI-Revenues &amp; Expenses'!$P$65,'Part VI-Revenues &amp; Expenses'!$P$164/'Part VI-Revenues &amp; Expenses'!$P$166)</f>
        <v>0.88888888888888884</v>
      </c>
      <c r="N167" s="3684"/>
      <c r="P167" s="3683">
        <f>MIN('Part VI-Revenues &amp; Expenses'!$P$63/'Part VI-Revenues &amp; Expenses'!$P$65,'Part VI-Revenues &amp; Expenses'!$P$164/'Part VI-Revenues &amp; Expenses'!$P$166)</f>
        <v>0.88888888888888884</v>
      </c>
      <c r="Q167" s="3684"/>
      <c r="R167" s="3643"/>
      <c r="S167" s="3644"/>
      <c r="T167" s="3645"/>
      <c r="V167" s="2800"/>
      <c r="W167" s="3628"/>
      <c r="X167" s="3629"/>
      <c r="AZ167" s="1808"/>
      <c r="BA167" s="1808"/>
    </row>
    <row r="168" spans="1:53" s="289" customFormat="1" ht="14.1" customHeight="1">
      <c r="B168" s="289" t="s">
        <v>1953</v>
      </c>
      <c r="J168" s="3667">
        <f>J166*J167</f>
        <v>12355755.048888888</v>
      </c>
      <c r="K168" s="3675"/>
      <c r="M168" s="3667">
        <f>M166*M167</f>
        <v>0</v>
      </c>
      <c r="N168" s="3675"/>
      <c r="P168" s="3667">
        <f>P166*P167</f>
        <v>0</v>
      </c>
      <c r="Q168" s="3675"/>
      <c r="V168" s="2800"/>
      <c r="W168" s="3628"/>
      <c r="X168" s="3629"/>
      <c r="AZ168" s="1808"/>
      <c r="BA168" s="1808"/>
    </row>
    <row r="169" spans="1:53" s="289" customFormat="1" ht="14.1" customHeight="1">
      <c r="B169" s="289" t="s">
        <v>1954</v>
      </c>
      <c r="J169" s="3680">
        <v>0.09</v>
      </c>
      <c r="K169" s="3681"/>
      <c r="M169" s="3680"/>
      <c r="N169" s="3681"/>
      <c r="P169" s="3680"/>
      <c r="Q169" s="3681"/>
      <c r="V169" s="2800"/>
      <c r="W169" s="3628"/>
      <c r="X169" s="3629"/>
      <c r="AZ169" s="1808"/>
      <c r="BA169" s="1808"/>
    </row>
    <row r="170" spans="1:53" s="289" customFormat="1" ht="14.1" customHeight="1" thickBot="1">
      <c r="B170" s="289" t="s">
        <v>2424</v>
      </c>
      <c r="J170" s="3685">
        <f>J168*J169</f>
        <v>1112017.9543999999</v>
      </c>
      <c r="K170" s="3686"/>
      <c r="M170" s="3685">
        <f>M168*M169</f>
        <v>0</v>
      </c>
      <c r="N170" s="3686"/>
      <c r="P170" s="3685">
        <f>P168*P169</f>
        <v>0</v>
      </c>
      <c r="Q170" s="3686"/>
      <c r="V170" s="2826"/>
      <c r="W170" s="3630"/>
      <c r="X170" s="3631"/>
      <c r="AZ170" s="1808"/>
      <c r="BA170" s="1808"/>
    </row>
    <row r="171" spans="1:53" s="289" customFormat="1" ht="14.1" customHeight="1" thickBot="1">
      <c r="B171" s="291" t="s">
        <v>1373</v>
      </c>
      <c r="J171" s="3492">
        <f>ROUNDDOWN(J170+M170+P170,0)</f>
        <v>1112017</v>
      </c>
      <c r="K171" s="3660"/>
      <c r="L171" s="3660"/>
      <c r="M171" s="3660"/>
      <c r="N171" s="3660"/>
      <c r="O171" s="3660"/>
      <c r="P171" s="3660"/>
      <c r="Q171" s="3493"/>
      <c r="V171" s="2802"/>
      <c r="W171" s="3632"/>
      <c r="X171" s="3633"/>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9"/>
      <c r="M173" s="450"/>
      <c r="N173" s="2629"/>
      <c r="O173" s="2629"/>
      <c r="P173" s="2629"/>
      <c r="Q173" s="2629"/>
      <c r="R173" s="2629"/>
      <c r="S173" s="2629"/>
      <c r="T173" s="2629"/>
      <c r="V173" s="935"/>
      <c r="AZ173" s="1808"/>
      <c r="BA173" s="1808"/>
    </row>
    <row r="174" spans="1:53" s="166" customFormat="1" ht="3" customHeight="1">
      <c r="H174" s="2827"/>
      <c r="I174" s="2827"/>
      <c r="M174" s="509"/>
      <c r="O174" s="3767"/>
      <c r="P174" s="3767"/>
      <c r="Q174" s="3767"/>
      <c r="R174" s="3767"/>
      <c r="S174" s="3767"/>
      <c r="T174" s="3767"/>
      <c r="U174" s="3767"/>
      <c r="V174" s="3767"/>
      <c r="AZ174" s="1808"/>
      <c r="BA174" s="1808"/>
    </row>
    <row r="175" spans="1:53" s="166" customFormat="1" ht="14.1" customHeight="1">
      <c r="B175" s="2803" t="s">
        <v>4128</v>
      </c>
      <c r="H175" s="2827"/>
      <c r="I175" s="2827"/>
      <c r="M175" s="509"/>
      <c r="O175" s="2828"/>
      <c r="P175" s="2828"/>
      <c r="Q175" s="2828"/>
      <c r="R175" s="2828"/>
      <c r="S175" s="2828"/>
      <c r="T175" s="2828"/>
      <c r="U175" s="2828"/>
      <c r="V175" s="2828"/>
      <c r="AZ175" s="1808"/>
      <c r="BA175" s="1808"/>
    </row>
    <row r="176" spans="1:53" s="166" customFormat="1" ht="15" customHeight="1">
      <c r="B176" s="166" t="s">
        <v>4130</v>
      </c>
      <c r="J176" s="3768">
        <f>G146</f>
        <v>15931770.43</v>
      </c>
      <c r="K176" s="3769"/>
      <c r="L176" s="3770"/>
      <c r="V176" s="2829"/>
      <c r="W176" s="2830"/>
      <c r="AZ176" s="1808"/>
      <c r="BA176" s="1808"/>
    </row>
    <row r="177" spans="1:53" s="166" customFormat="1" ht="13.5" customHeight="1">
      <c r="B177" s="166" t="s">
        <v>4132</v>
      </c>
      <c r="J177" s="3768">
        <f>'Part IV-A-Uses of Funds'!$G$92+'Part IV-A-Uses of Funds'!$G$114+SUM('Part IV-A-Uses of Funds'!$G$130:$H$132)</f>
        <v>723067.42999999993</v>
      </c>
      <c r="K177" s="3769"/>
      <c r="L177" s="3770"/>
      <c r="V177" s="2829"/>
      <c r="W177" s="2830"/>
      <c r="AZ177" s="1808"/>
      <c r="BA177" s="1808"/>
    </row>
    <row r="178" spans="1:53" s="166" customFormat="1" ht="13.5" customHeight="1">
      <c r="B178" s="2730" t="s">
        <v>4131</v>
      </c>
      <c r="J178" s="3768">
        <f>J176-J177</f>
        <v>15208703</v>
      </c>
      <c r="K178" s="3769"/>
      <c r="L178" s="3770"/>
      <c r="M178" s="3627" t="str">
        <f>IF(J178&lt;=J179, "","Exceeds Project Cost Limit!   Needs Cost Limit waiver.")</f>
        <v/>
      </c>
      <c r="N178" s="3627"/>
      <c r="O178" s="3627"/>
      <c r="P178" s="3627"/>
      <c r="Q178" s="3627"/>
      <c r="R178" s="3627"/>
      <c r="S178" s="3627"/>
      <c r="T178" s="3627"/>
      <c r="V178" s="2829"/>
      <c r="W178" s="2830"/>
      <c r="AZ178" s="1808"/>
      <c r="BA178" s="1808"/>
    </row>
    <row r="179" spans="1:53" s="166" customFormat="1" ht="13.5" customHeight="1">
      <c r="B179" s="2831" t="s">
        <v>2597</v>
      </c>
      <c r="C179" s="2730"/>
      <c r="D179" s="2730"/>
      <c r="J179" s="3768">
        <f>'Part VIII-Threshold Criteria'!$P$63</f>
        <v>16573480.4</v>
      </c>
      <c r="K179" s="3769"/>
      <c r="L179" s="3770"/>
      <c r="V179" s="2829"/>
      <c r="W179" s="2830"/>
      <c r="AZ179" s="1808"/>
      <c r="BA179" s="1808"/>
    </row>
    <row r="180" spans="1:53" s="166" customFormat="1" ht="3" customHeight="1">
      <c r="B180" s="2831"/>
      <c r="C180" s="2730"/>
      <c r="D180" s="2730"/>
      <c r="J180" s="2832"/>
      <c r="K180" s="2832"/>
      <c r="L180" s="2832"/>
      <c r="V180" s="2829"/>
      <c r="W180" s="2830"/>
      <c r="AZ180" s="1808"/>
      <c r="BA180" s="1808"/>
    </row>
    <row r="181" spans="1:53" s="289" customFormat="1" ht="15" customHeight="1" thickBot="1">
      <c r="B181" s="291" t="s">
        <v>166</v>
      </c>
      <c r="O181" s="2629"/>
      <c r="P181" s="2629"/>
      <c r="Q181" s="2629"/>
      <c r="R181" s="2629"/>
      <c r="S181" s="2629"/>
      <c r="T181" s="2629"/>
      <c r="V181" s="935"/>
      <c r="W181" s="411" t="str">
        <f>B173</f>
        <v>TAX CREDIT CALCULATION - GAP METHOD</v>
      </c>
      <c r="AZ181" s="1808"/>
      <c r="BA181" s="1808"/>
    </row>
    <row r="182" spans="1:53" s="289" customFormat="1" ht="15" customHeight="1">
      <c r="B182" s="166" t="s">
        <v>4133</v>
      </c>
      <c r="J182" s="3664">
        <f>MIN(J176,J179+J177)</f>
        <v>15931770.43</v>
      </c>
      <c r="K182" s="3665"/>
      <c r="L182" s="3666"/>
      <c r="M182" s="3648" t="s">
        <v>4144</v>
      </c>
      <c r="N182" s="3649"/>
      <c r="O182" s="3649"/>
      <c r="P182" s="3649"/>
      <c r="Q182" s="3649"/>
      <c r="R182" s="3650"/>
      <c r="S182" s="3648" t="s">
        <v>3313</v>
      </c>
      <c r="T182" s="3650"/>
      <c r="V182" s="2800"/>
      <c r="W182" s="3628"/>
      <c r="X182" s="3629"/>
      <c r="AZ182" s="1808"/>
      <c r="BA182" s="1808"/>
    </row>
    <row r="183" spans="1:53" s="289" customFormat="1" ht="14.1" customHeight="1">
      <c r="B183" s="289" t="s">
        <v>252</v>
      </c>
      <c r="J183" s="3667">
        <f>'Part III-Sources of Funds'!$I$60-'Part III-Sources of Funds'!$I$44-'Part III-Sources of Funds'!$I$45-'Part III-Sources of Funds'!$I$51-'Part III-Sources of Funds'!$I$52</f>
        <v>2289002</v>
      </c>
      <c r="K183" s="3668"/>
      <c r="L183" s="3669"/>
      <c r="M183" s="3651"/>
      <c r="N183" s="3652"/>
      <c r="O183" s="3652"/>
      <c r="P183" s="3652"/>
      <c r="Q183" s="3652"/>
      <c r="R183" s="3653"/>
      <c r="S183" s="3651"/>
      <c r="T183" s="3653"/>
      <c r="V183" s="2800"/>
      <c r="W183" s="3628"/>
      <c r="X183" s="3629"/>
      <c r="AZ183" s="1808"/>
      <c r="BA183" s="1808"/>
    </row>
    <row r="184" spans="1:53" s="289" customFormat="1" ht="14.1" customHeight="1">
      <c r="B184" s="289" t="s">
        <v>2131</v>
      </c>
      <c r="J184" s="3667">
        <f>+J182-J183</f>
        <v>13642768.43</v>
      </c>
      <c r="K184" s="3668"/>
      <c r="L184" s="3669"/>
      <c r="M184" s="3651"/>
      <c r="N184" s="3652"/>
      <c r="O184" s="3652"/>
      <c r="P184" s="3652"/>
      <c r="Q184" s="3652"/>
      <c r="R184" s="3653"/>
      <c r="S184" s="3651"/>
      <c r="T184" s="3653"/>
      <c r="V184" s="2800"/>
      <c r="W184" s="3628"/>
      <c r="X184" s="3629"/>
      <c r="AZ184" s="1808"/>
      <c r="BA184" s="1808"/>
    </row>
    <row r="185" spans="1:53" s="289" customFormat="1" ht="14.1" customHeight="1" thickBot="1">
      <c r="B185" s="289" t="s">
        <v>1238</v>
      </c>
      <c r="J185" s="3674" t="str">
        <f>"/ 10"</f>
        <v>/ 10</v>
      </c>
      <c r="K185" s="3674"/>
      <c r="L185" s="3674"/>
      <c r="M185" s="3670" t="s">
        <v>2581</v>
      </c>
      <c r="N185" s="3671"/>
      <c r="O185" s="3672">
        <f>'Part III-Sources of Funds'!$I$44</f>
        <v>0</v>
      </c>
      <c r="P185" s="3672"/>
      <c r="Q185" s="3672"/>
      <c r="R185" s="3673"/>
      <c r="S185" s="398" t="s">
        <v>1589</v>
      </c>
      <c r="T185" s="2833"/>
      <c r="V185" s="2800"/>
      <c r="W185" s="3628"/>
      <c r="X185" s="3629"/>
      <c r="AZ185" s="1808"/>
      <c r="BA185" s="1808"/>
    </row>
    <row r="186" spans="1:53" s="289" customFormat="1" ht="14.1" customHeight="1">
      <c r="B186" s="289" t="s">
        <v>1239</v>
      </c>
      <c r="J186" s="3667">
        <f>J184/10</f>
        <v>1364276.8429999999</v>
      </c>
      <c r="K186" s="3668"/>
      <c r="L186" s="3675"/>
      <c r="M186" s="2629"/>
      <c r="N186" s="448"/>
      <c r="O186" s="448"/>
      <c r="P186" s="448"/>
      <c r="Q186" s="448"/>
      <c r="R186" s="448"/>
      <c r="V186" s="935"/>
      <c r="W186" s="3628"/>
      <c r="X186" s="3629"/>
      <c r="AZ186" s="1808"/>
      <c r="BA186" s="1808"/>
    </row>
    <row r="187" spans="1:53" s="289" customFormat="1" ht="14.1" customHeight="1">
      <c r="M187" s="307"/>
      <c r="N187" s="3339" t="s">
        <v>1240</v>
      </c>
      <c r="O187" s="3339"/>
      <c r="Q187" s="3339" t="s">
        <v>1717</v>
      </c>
      <c r="R187" s="3339"/>
      <c r="V187" s="2800"/>
      <c r="W187" s="3628"/>
      <c r="X187" s="3629"/>
      <c r="AZ187" s="1808"/>
      <c r="BA187" s="1808"/>
    </row>
    <row r="188" spans="1:53" s="289" customFormat="1" ht="14.1" customHeight="1" thickBot="1">
      <c r="B188" s="289" t="s">
        <v>1425</v>
      </c>
      <c r="J188" s="3655">
        <f>N188+Q188</f>
        <v>1.35</v>
      </c>
      <c r="K188" s="3656"/>
      <c r="L188" s="3657"/>
      <c r="M188" s="2624" t="s">
        <v>1241</v>
      </c>
      <c r="N188" s="3658">
        <v>0.85</v>
      </c>
      <c r="O188" s="3659"/>
      <c r="P188" s="2624" t="s">
        <v>583</v>
      </c>
      <c r="Q188" s="3658">
        <v>0.5</v>
      </c>
      <c r="R188" s="3659"/>
      <c r="V188" s="2800"/>
      <c r="W188" s="3628"/>
      <c r="X188" s="3629"/>
      <c r="AZ188" s="1808"/>
      <c r="BA188" s="1808"/>
    </row>
    <row r="189" spans="1:53" s="289" customFormat="1" ht="14.1" customHeight="1" thickBot="1">
      <c r="B189" s="291" t="s">
        <v>1374</v>
      </c>
      <c r="J189" s="3492">
        <f>ROUNDDOWN(IF(J188=0,"",J186/J188),0)</f>
        <v>1010575</v>
      </c>
      <c r="K189" s="3660"/>
      <c r="L189" s="3493"/>
      <c r="M189" s="307"/>
      <c r="N189" s="2629"/>
      <c r="O189" s="2629"/>
      <c r="V189" s="2800"/>
      <c r="W189" s="3628"/>
      <c r="X189" s="3629"/>
      <c r="AZ189" s="1808"/>
      <c r="BA189" s="1808"/>
    </row>
    <row r="190" spans="1:53" s="289" customFormat="1" ht="6" customHeight="1">
      <c r="J190" s="355"/>
      <c r="K190" s="355"/>
      <c r="L190" s="355"/>
      <c r="M190" s="307"/>
      <c r="N190" s="2630"/>
      <c r="O190" s="2630"/>
      <c r="V190" s="935"/>
      <c r="W190" s="2834"/>
      <c r="X190" s="2834"/>
      <c r="AZ190" s="1808"/>
      <c r="BA190" s="1808"/>
    </row>
    <row r="191" spans="1:53" s="289" customFormat="1" ht="14.1" customHeight="1">
      <c r="A191" s="411" t="s">
        <v>1711</v>
      </c>
      <c r="B191" s="411" t="s">
        <v>4129</v>
      </c>
      <c r="H191" s="345"/>
      <c r="I191" s="345"/>
      <c r="L191" s="2629"/>
      <c r="M191" s="450"/>
      <c r="N191" s="2629"/>
      <c r="O191" s="2629"/>
      <c r="P191" s="2629"/>
      <c r="Q191" s="1728" t="s">
        <v>6539</v>
      </c>
      <c r="R191" s="170"/>
      <c r="S191" s="3763" t="str">
        <f>'Part I-Project Information'!$H$105</f>
        <v>Other Metro</v>
      </c>
      <c r="T191" s="3764"/>
      <c r="V191" s="935"/>
      <c r="AZ191" s="1808"/>
      <c r="BA191" s="1808"/>
    </row>
    <row r="192" spans="1:53" s="166" customFormat="1" ht="3" customHeight="1">
      <c r="H192" s="2827"/>
      <c r="I192" s="2827"/>
      <c r="M192" s="509"/>
      <c r="O192" s="2835"/>
      <c r="P192" s="2835"/>
      <c r="Q192" s="2580"/>
      <c r="R192" s="2580"/>
      <c r="S192" s="2836"/>
      <c r="T192" s="2836"/>
      <c r="U192" s="2835"/>
      <c r="V192" s="2835"/>
      <c r="AZ192" s="1809"/>
      <c r="BA192" s="1808"/>
    </row>
    <row r="193" spans="1:53" s="289" customFormat="1" ht="16.350000000000001" customHeight="1">
      <c r="B193" s="291" t="s">
        <v>6541</v>
      </c>
      <c r="J193" s="3661">
        <v>1010575</v>
      </c>
      <c r="K193" s="3662"/>
      <c r="L193" s="3663"/>
      <c r="M193" s="307"/>
      <c r="Q193" s="279" t="s">
        <v>367</v>
      </c>
      <c r="R193" s="465"/>
      <c r="S193" s="3761" t="str">
        <f>'Part IX Scoring Criteria'!$M$43</f>
        <v>New Supply</v>
      </c>
      <c r="T193" s="3762"/>
      <c r="U193" s="1704" t="str">
        <f>IF(OR(S191="Atlanta Metro", "Other Metro"), "Metro", IF(S191="Rural","Rural",""))</f>
        <v/>
      </c>
      <c r="V193" s="2800"/>
      <c r="W193" s="3628"/>
      <c r="X193" s="3629"/>
      <c r="AZ193" s="1809"/>
      <c r="BA193" s="1808"/>
    </row>
    <row r="194" spans="1:53" s="289" customFormat="1" ht="3" customHeight="1">
      <c r="J194" s="355"/>
      <c r="K194" s="355"/>
      <c r="L194" s="355"/>
      <c r="M194" s="307"/>
      <c r="N194" s="2630"/>
      <c r="O194" s="2630"/>
      <c r="Q194" s="170"/>
      <c r="R194" s="170"/>
      <c r="S194" s="2638"/>
      <c r="T194" s="2638"/>
      <c r="V194" s="935"/>
      <c r="W194" s="2823"/>
      <c r="X194" s="2824"/>
      <c r="AZ194" s="1809"/>
      <c r="BA194" s="1808"/>
    </row>
    <row r="195" spans="1:53" s="289" customFormat="1" ht="16.350000000000001" customHeight="1">
      <c r="B195" s="291" t="s">
        <v>4282</v>
      </c>
      <c r="J195" s="3661">
        <v>1000000</v>
      </c>
      <c r="K195" s="3662"/>
      <c r="L195" s="3663"/>
      <c r="M195" s="3760" t="str">
        <f>IF(J193=0,"",IF(J195&gt;J193,"Request can't exceed Maximum - REVISE (Try Round Down)!",""))</f>
        <v/>
      </c>
      <c r="N195" s="3760"/>
      <c r="O195" s="3760"/>
      <c r="P195" s="3760"/>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800"/>
      <c r="W195" s="3628"/>
      <c r="X195" s="3629"/>
      <c r="AZ195" s="1809"/>
      <c r="BA195" s="1808"/>
    </row>
    <row r="196" spans="1:53" s="289" customFormat="1" ht="3" customHeight="1">
      <c r="J196" s="355"/>
      <c r="K196" s="355"/>
      <c r="L196" s="355"/>
      <c r="M196" s="3760"/>
      <c r="N196" s="3760"/>
      <c r="O196" s="3760"/>
      <c r="P196" s="3760"/>
      <c r="Q196" s="170"/>
      <c r="R196" s="465"/>
      <c r="S196" s="2639"/>
      <c r="T196" s="2639"/>
      <c r="V196" s="935"/>
      <c r="W196" s="2823"/>
      <c r="X196" s="2824"/>
      <c r="AZ196" s="1809"/>
      <c r="BA196" s="1808"/>
    </row>
    <row r="197" spans="1:53" s="289" customFormat="1" ht="16.350000000000001" customHeight="1">
      <c r="A197" s="411"/>
      <c r="B197" s="411" t="s">
        <v>4283</v>
      </c>
      <c r="D197" s="307"/>
      <c r="E197" s="307"/>
      <c r="F197" s="2621"/>
      <c r="J197" s="3676">
        <f>IF(J195="",0,+MIN(J193,J195))</f>
        <v>1000000</v>
      </c>
      <c r="K197" s="3677"/>
      <c r="L197" s="3678"/>
      <c r="M197" s="3760"/>
      <c r="N197" s="3760"/>
      <c r="O197" s="3760"/>
      <c r="P197" s="3760"/>
      <c r="Q197" s="3765" t="s">
        <v>6540</v>
      </c>
      <c r="R197" s="3766"/>
      <c r="S197" s="1731" t="str">
        <f>IF('Part I-Project Information'!$P$101="","",IF('Part I-Project Information'!$P$101="Yes","Yes","No"))</f>
        <v>No</v>
      </c>
      <c r="T197" s="1266"/>
      <c r="V197" s="2800"/>
      <c r="W197" s="3628"/>
      <c r="X197" s="3629"/>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2" t="s">
        <v>7005</v>
      </c>
      <c r="B201" s="3472"/>
      <c r="C201" s="3472"/>
      <c r="D201" s="3472"/>
      <c r="E201" s="3472"/>
      <c r="F201" s="3472"/>
      <c r="G201" s="3472"/>
      <c r="H201" s="3472"/>
      <c r="I201" s="3472"/>
      <c r="J201" s="3472"/>
      <c r="K201" s="3472"/>
      <c r="L201" s="3472"/>
      <c r="M201" s="3472"/>
      <c r="N201" s="3679"/>
      <c r="O201" s="3679"/>
      <c r="P201" s="3679"/>
      <c r="Q201" s="3679"/>
      <c r="R201" s="3679"/>
      <c r="S201" s="3679"/>
      <c r="T201" s="3679"/>
      <c r="V201" s="842"/>
      <c r="W201" s="3470" t="s">
        <v>2542</v>
      </c>
      <c r="X201" s="3470"/>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9"/>
    </row>
    <row r="244" spans="10:12" ht="14.45" customHeight="1">
      <c r="J244" s="1326"/>
      <c r="K244" s="1752"/>
      <c r="L244" s="2629"/>
    </row>
    <row r="245" spans="10:12" ht="12.75" customHeight="1">
      <c r="J245" s="1326"/>
      <c r="K245" s="1752"/>
      <c r="L245" s="2629"/>
    </row>
    <row r="246" spans="10:12">
      <c r="J246" s="1326"/>
      <c r="K246" s="1752"/>
      <c r="L246" s="2629"/>
    </row>
    <row r="247" spans="10:12">
      <c r="J247" s="1326"/>
      <c r="K247" s="1752"/>
      <c r="L247" s="2629"/>
    </row>
    <row r="248" spans="10:12">
      <c r="J248" s="1326"/>
      <c r="K248" s="1752"/>
      <c r="L248" s="2629"/>
    </row>
    <row r="249" spans="10:12">
      <c r="J249" s="1326"/>
      <c r="K249" s="1752"/>
      <c r="L249" s="2629"/>
    </row>
    <row r="250" spans="10:12">
      <c r="J250" s="1326"/>
      <c r="K250" s="1752"/>
      <c r="L250" s="2629"/>
    </row>
    <row r="251" spans="10:12" ht="12.75" customHeight="1">
      <c r="J251" s="1326"/>
      <c r="K251" s="1752"/>
      <c r="L251" s="2629"/>
    </row>
    <row r="252" spans="10:12">
      <c r="J252" s="1326"/>
      <c r="K252" s="1752"/>
      <c r="L252" s="2629"/>
    </row>
  </sheetData>
  <sheetProtection algorithmName="SHA-512" hashValue="pP+JN/X/bFO7Px8DSGJMq5bYyxFg9PRagJigH3URTNe3D1852uMcilrqaQschF8Ny8GC30ZndAT9rkxcFU3JKA==" saltValue="3a1yrjPtVDWTJ+bB+BX/l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7" t="str">
        <f>CONCATENATE("PART FOUR (B) -  OTHER COSTS","  -  ",'Part I-Project Information'!$O$7," - ",'Part I-Project Information'!$F$35,"  -  ",'Part I-Project Information'!$F$39,"  -  ",'Part I-Project Information'!$J$40,",  ","County")</f>
        <v>PART FOUR (B) -  OTHER COSTS  -  2021-041 - Hunters Haven  -  Flemington  -  Liberty,  County</v>
      </c>
      <c r="B1" s="3788"/>
      <c r="C1" s="3788"/>
      <c r="D1" s="3788"/>
      <c r="E1" s="3788"/>
      <c r="F1" s="3788"/>
      <c r="G1" s="3788"/>
      <c r="H1" s="3788"/>
      <c r="I1" s="819"/>
      <c r="J1" s="819"/>
      <c r="K1" s="819"/>
      <c r="L1" s="819"/>
      <c r="M1" s="819"/>
      <c r="N1" s="819"/>
    </row>
    <row r="2" spans="1:14" ht="9" customHeight="1"/>
    <row r="3" spans="1:14" ht="57" customHeight="1">
      <c r="A3" s="3789" t="s">
        <v>3344</v>
      </c>
      <c r="B3" s="3790"/>
      <c r="C3" s="3790"/>
      <c r="D3" s="3790"/>
      <c r="E3" s="3790"/>
      <c r="F3" s="3790"/>
      <c r="G3" s="3790"/>
      <c r="H3" s="3791"/>
    </row>
    <row r="4" spans="1:14" ht="6" customHeight="1"/>
    <row r="5" spans="1:14" ht="38.25" customHeight="1">
      <c r="A5" s="3792" t="s">
        <v>3411</v>
      </c>
      <c r="B5" s="3792"/>
      <c r="C5" s="3792"/>
      <c r="D5" s="3792"/>
      <c r="F5" s="820" t="s">
        <v>3335</v>
      </c>
      <c r="G5" s="511"/>
      <c r="H5" s="820" t="s">
        <v>3336</v>
      </c>
    </row>
    <row r="6" spans="1:14" ht="6.75" customHeight="1">
      <c r="A6" s="511"/>
      <c r="B6" s="511"/>
      <c r="C6" s="511"/>
      <c r="D6" s="511"/>
    </row>
    <row r="7" spans="1:14" s="2837" customFormat="1" ht="4.5" customHeight="1">
      <c r="A7" s="821"/>
      <c r="B7" s="821"/>
      <c r="C7" s="821"/>
      <c r="D7" s="821"/>
      <c r="E7" s="821"/>
      <c r="F7" s="821"/>
      <c r="G7" s="821"/>
    </row>
    <row r="8" spans="1:14" s="2837" customFormat="1">
      <c r="A8" s="830" t="s">
        <v>95</v>
      </c>
      <c r="B8" s="822"/>
      <c r="C8" s="822"/>
      <c r="D8" s="822"/>
      <c r="E8" s="822"/>
      <c r="F8" s="822"/>
      <c r="G8" s="822"/>
      <c r="H8" s="822"/>
    </row>
    <row r="9" spans="1:14" s="2837" customFormat="1" ht="41.25" customHeight="1">
      <c r="A9" s="3784" t="str">
        <f>'Part IV-A-Uses of Funds'!$C$15</f>
        <v>&lt;&lt; Enter description here; provide detail &amp; justification in tab Part IV-b &gt;&gt;</v>
      </c>
      <c r="B9" s="3785"/>
      <c r="C9" s="3785"/>
      <c r="D9" s="3786"/>
      <c r="F9" s="3780"/>
      <c r="G9" s="822"/>
      <c r="H9" s="3780"/>
    </row>
    <row r="10" spans="1:14" s="2837" customFormat="1" ht="41.25" customHeight="1">
      <c r="A10" s="3774"/>
      <c r="B10" s="3775"/>
      <c r="C10" s="3775"/>
      <c r="D10" s="3776"/>
      <c r="F10" s="3781"/>
      <c r="G10" s="822"/>
      <c r="H10" s="3781"/>
    </row>
    <row r="11" spans="1:14" s="2837" customFormat="1" ht="4.5" customHeight="1">
      <c r="F11" s="3781"/>
      <c r="G11" s="822"/>
      <c r="H11" s="3781"/>
    </row>
    <row r="12" spans="1:14" s="2837" customFormat="1" ht="15" customHeight="1">
      <c r="A12" s="829" t="s">
        <v>3338</v>
      </c>
      <c r="B12" s="828">
        <f>'Part IV-A-Uses of Funds'!$G$15</f>
        <v>0</v>
      </c>
      <c r="C12" s="829" t="s">
        <v>1710</v>
      </c>
      <c r="D12" s="828">
        <f>'Part IV-A-Uses of Funds'!$J$15+'Part IV-A-Uses of Funds'!$M$15+'Part IV-A-Uses of Funds'!$P$15</f>
        <v>0</v>
      </c>
      <c r="F12" s="3781"/>
      <c r="G12" s="822"/>
      <c r="H12" s="3781"/>
    </row>
    <row r="13" spans="1:14" s="2837" customFormat="1" ht="6" customHeight="1">
      <c r="A13" s="822"/>
      <c r="B13" s="823"/>
      <c r="C13" s="822"/>
      <c r="D13" s="822"/>
      <c r="F13" s="3781"/>
      <c r="G13" s="824"/>
      <c r="H13" s="3781"/>
    </row>
    <row r="14" spans="1:14" s="2837" customFormat="1" ht="41.25" customHeight="1">
      <c r="A14" s="3784" t="str">
        <f>'Part IV-A-Uses of Funds'!$C$16</f>
        <v>&lt;&lt; Enter description here; provide detail &amp; justification in tab Part IV-b &gt;&gt;</v>
      </c>
      <c r="B14" s="3785"/>
      <c r="C14" s="3785"/>
      <c r="D14" s="3786"/>
      <c r="F14" s="3781"/>
      <c r="G14" s="822"/>
      <c r="H14" s="3781"/>
    </row>
    <row r="15" spans="1:14" s="2837" customFormat="1" ht="41.25" customHeight="1">
      <c r="A15" s="3774"/>
      <c r="B15" s="3775"/>
      <c r="C15" s="3775"/>
      <c r="D15" s="3776"/>
      <c r="F15" s="3781"/>
      <c r="G15" s="822"/>
      <c r="H15" s="3781"/>
    </row>
    <row r="16" spans="1:14" s="2837" customFormat="1" ht="4.5" customHeight="1">
      <c r="F16" s="3781"/>
      <c r="G16" s="822"/>
      <c r="H16" s="3781"/>
    </row>
    <row r="17" spans="1:8" s="2837" customFormat="1" ht="15" customHeight="1">
      <c r="A17" s="829" t="s">
        <v>3338</v>
      </c>
      <c r="B17" s="828">
        <f>'Part IV-A-Uses of Funds'!$G$16</f>
        <v>0</v>
      </c>
      <c r="C17" s="829" t="s">
        <v>1710</v>
      </c>
      <c r="D17" s="828">
        <f>'Part IV-A-Uses of Funds'!$J$16+'Part IV-A-Uses of Funds'!$M$16+'Part IV-A-Uses of Funds'!$P$16</f>
        <v>0</v>
      </c>
      <c r="F17" s="3781"/>
      <c r="G17" s="822"/>
      <c r="H17" s="3781"/>
    </row>
    <row r="18" spans="1:8" s="2837" customFormat="1" ht="6" customHeight="1">
      <c r="A18" s="822"/>
      <c r="B18" s="823"/>
      <c r="C18" s="822"/>
      <c r="D18" s="822"/>
      <c r="F18" s="3781"/>
      <c r="G18" s="824"/>
      <c r="H18" s="3781"/>
    </row>
    <row r="19" spans="1:8" s="2837" customFormat="1" ht="41.25" customHeight="1">
      <c r="A19" s="3784" t="str">
        <f>'Part IV-A-Uses of Funds'!$C$17</f>
        <v>&lt;&lt; Enter description here; provide detail &amp; justification in tab Part IV-b &gt;&gt;</v>
      </c>
      <c r="B19" s="3785"/>
      <c r="C19" s="3785"/>
      <c r="D19" s="3786"/>
      <c r="F19" s="3781"/>
      <c r="G19" s="822"/>
      <c r="H19" s="3781"/>
    </row>
    <row r="20" spans="1:8" s="2837" customFormat="1" ht="41.25" customHeight="1">
      <c r="A20" s="3774"/>
      <c r="B20" s="3775"/>
      <c r="C20" s="3775"/>
      <c r="D20" s="3776"/>
      <c r="F20" s="3781"/>
      <c r="G20" s="822"/>
      <c r="H20" s="3781"/>
    </row>
    <row r="21" spans="1:8" s="2837" customFormat="1" ht="4.5" customHeight="1">
      <c r="F21" s="3781"/>
      <c r="G21" s="822"/>
      <c r="H21" s="3781"/>
    </row>
    <row r="22" spans="1:8" s="2837" customFormat="1" ht="15" customHeight="1">
      <c r="A22" s="829" t="s">
        <v>3338</v>
      </c>
      <c r="B22" s="828">
        <f>'Part IV-A-Uses of Funds'!$G$17</f>
        <v>0</v>
      </c>
      <c r="C22" s="829" t="s">
        <v>1710</v>
      </c>
      <c r="D22" s="828">
        <f>'Part IV-A-Uses of Funds'!$J$17+'Part IV-A-Uses of Funds'!$M$17+'Part IV-A-Uses of Funds'!$P$17</f>
        <v>0</v>
      </c>
      <c r="F22" s="3781"/>
      <c r="G22" s="822"/>
      <c r="H22" s="3781"/>
    </row>
    <row r="23" spans="1:8" s="2837" customFormat="1" ht="6" customHeight="1">
      <c r="A23" s="822"/>
      <c r="B23" s="823"/>
      <c r="C23" s="822"/>
      <c r="D23" s="822"/>
      <c r="F23" s="3782"/>
      <c r="G23" s="824"/>
      <c r="H23" s="3782"/>
    </row>
    <row r="24" spans="1:8" s="2837" customFormat="1">
      <c r="A24" s="830" t="s">
        <v>3337</v>
      </c>
      <c r="B24" s="822"/>
      <c r="C24" s="822"/>
      <c r="D24" s="822"/>
      <c r="E24" s="822"/>
      <c r="F24" s="822"/>
      <c r="G24" s="822"/>
    </row>
    <row r="25" spans="1:8" s="2837" customFormat="1" ht="41.25" customHeight="1">
      <c r="A25" s="3784" t="str">
        <f>'Part IV-A-Uses of Funds'!$C$46</f>
        <v>Site Lighting</v>
      </c>
      <c r="B25" s="3785"/>
      <c r="C25" s="3785"/>
      <c r="D25" s="3786"/>
      <c r="E25" s="822"/>
      <c r="F25" s="3783" t="s">
        <v>6912</v>
      </c>
      <c r="G25" s="822"/>
      <c r="H25" s="3783" t="s">
        <v>6913</v>
      </c>
    </row>
    <row r="26" spans="1:8" s="2837" customFormat="1" ht="41.25" customHeight="1">
      <c r="A26" s="3774"/>
      <c r="B26" s="3775"/>
      <c r="C26" s="3775"/>
      <c r="D26" s="3776"/>
      <c r="E26" s="822"/>
      <c r="F26" s="3778"/>
      <c r="G26" s="822"/>
      <c r="H26" s="3778"/>
    </row>
    <row r="27" spans="1:8" s="2837" customFormat="1" ht="4.5" customHeight="1">
      <c r="A27" s="822"/>
      <c r="B27" s="822"/>
      <c r="C27" s="822"/>
      <c r="D27" s="822"/>
      <c r="E27" s="822"/>
      <c r="F27" s="3778"/>
      <c r="G27" s="822"/>
      <c r="H27" s="3778"/>
    </row>
    <row r="28" spans="1:8" s="2837" customFormat="1" ht="25.5">
      <c r="A28" s="829" t="s">
        <v>3338</v>
      </c>
      <c r="B28" s="828">
        <f>'Part IV-A-Uses of Funds'!$G$46</f>
        <v>30000</v>
      </c>
      <c r="C28" s="829" t="s">
        <v>1710</v>
      </c>
      <c r="D28" s="828">
        <f>'Part IV-A-Uses of Funds'!$J$46+'Part IV-A-Uses of Funds'!$M$46+'Part IV-A-Uses of Funds'!$P$46</f>
        <v>30000</v>
      </c>
      <c r="E28" s="822"/>
      <c r="F28" s="3778"/>
      <c r="G28" s="822"/>
      <c r="H28" s="3778"/>
    </row>
    <row r="29" spans="1:8" s="2837" customFormat="1" ht="6" customHeight="1">
      <c r="A29" s="822"/>
      <c r="B29" s="823"/>
      <c r="C29" s="822"/>
      <c r="D29" s="822"/>
      <c r="E29" s="822"/>
      <c r="F29" s="3779"/>
      <c r="G29" s="824"/>
      <c r="H29" s="3779"/>
    </row>
    <row r="30" spans="1:8" s="2837" customFormat="1">
      <c r="A30" s="830" t="s">
        <v>692</v>
      </c>
      <c r="B30" s="822"/>
      <c r="C30" s="822"/>
      <c r="D30" s="822"/>
      <c r="E30" s="822"/>
      <c r="F30" s="822"/>
      <c r="G30" s="822"/>
    </row>
    <row r="31" spans="1:8" s="2837" customFormat="1" ht="41.25" customHeight="1">
      <c r="A31" s="3771" t="str">
        <f>'Part IV-A-Uses of Funds'!$C$71</f>
        <v>&lt;&lt; Enter description here; provide detail &amp; justification in tab Part IV-b &gt;&gt;</v>
      </c>
      <c r="B31" s="3772"/>
      <c r="C31" s="3772"/>
      <c r="D31" s="3773"/>
      <c r="E31" s="822"/>
      <c r="F31" s="3780"/>
      <c r="G31" s="822"/>
      <c r="H31" s="3780"/>
    </row>
    <row r="32" spans="1:8" s="2837" customFormat="1" ht="41.25" customHeight="1">
      <c r="A32" s="3774"/>
      <c r="B32" s="3775"/>
      <c r="C32" s="3775"/>
      <c r="D32" s="3776"/>
      <c r="E32" s="822"/>
      <c r="F32" s="3781"/>
      <c r="G32" s="822"/>
      <c r="H32" s="3781"/>
    </row>
    <row r="33" spans="1:8" s="2837" customFormat="1" ht="4.5" customHeight="1">
      <c r="A33" s="822"/>
      <c r="B33" s="822"/>
      <c r="C33" s="822"/>
      <c r="D33" s="822"/>
      <c r="E33" s="822"/>
      <c r="F33" s="3781"/>
      <c r="G33" s="822"/>
      <c r="H33" s="3781"/>
    </row>
    <row r="34" spans="1:8" s="2837" customFormat="1" ht="14.25" customHeight="1">
      <c r="A34" s="829" t="s">
        <v>3338</v>
      </c>
      <c r="B34" s="828">
        <f>'Part IV-A-Uses of Funds'!$G$71</f>
        <v>0</v>
      </c>
      <c r="C34" s="829" t="s">
        <v>1710</v>
      </c>
      <c r="D34" s="828">
        <f>'Part IV-A-Uses of Funds'!$J$71+'Part IV-A-Uses of Funds'!$M$71+'Part IV-A-Uses of Funds'!$P$71</f>
        <v>0</v>
      </c>
      <c r="E34" s="822"/>
      <c r="F34" s="3781"/>
      <c r="G34" s="822"/>
      <c r="H34" s="3781"/>
    </row>
    <row r="35" spans="1:8" s="2837" customFormat="1" ht="6" customHeight="1">
      <c r="D35" s="822"/>
      <c r="E35" s="822"/>
      <c r="F35" s="3781"/>
      <c r="G35" s="824"/>
      <c r="H35" s="3781"/>
    </row>
    <row r="36" spans="1:8" s="2837" customFormat="1" ht="41.25" customHeight="1">
      <c r="A36" s="3771" t="str">
        <f>'Part IV-A-Uses of Funds'!$C$72</f>
        <v>&lt;&lt; Enter description here; provide detail &amp; justification in tab Part IV-b &gt;&gt;</v>
      </c>
      <c r="B36" s="3772"/>
      <c r="C36" s="3772"/>
      <c r="D36" s="3773"/>
      <c r="E36" s="822"/>
      <c r="F36" s="3781"/>
      <c r="G36" s="822"/>
      <c r="H36" s="3781"/>
    </row>
    <row r="37" spans="1:8" s="2837" customFormat="1" ht="41.25" customHeight="1">
      <c r="A37" s="3774"/>
      <c r="B37" s="3775"/>
      <c r="C37" s="3775"/>
      <c r="D37" s="3776"/>
      <c r="E37" s="822"/>
      <c r="F37" s="3781"/>
      <c r="G37" s="822"/>
      <c r="H37" s="3781"/>
    </row>
    <row r="38" spans="1:8" s="2837" customFormat="1" ht="4.5" customHeight="1">
      <c r="A38" s="822"/>
      <c r="B38" s="822"/>
      <c r="C38" s="822"/>
      <c r="D38" s="822"/>
      <c r="E38" s="822"/>
      <c r="F38" s="3781"/>
      <c r="G38" s="822"/>
      <c r="H38" s="3781"/>
    </row>
    <row r="39" spans="1:8" s="2837" customFormat="1" ht="14.25" customHeight="1">
      <c r="A39" s="829" t="s">
        <v>3338</v>
      </c>
      <c r="B39" s="828">
        <f>'Part IV-A-Uses of Funds'!$G$72</f>
        <v>0</v>
      </c>
      <c r="C39" s="829" t="s">
        <v>1710</v>
      </c>
      <c r="D39" s="828">
        <f>'Part IV-A-Uses of Funds'!$J$72+'Part IV-A-Uses of Funds'!$M$72+'Part IV-A-Uses of Funds'!$P$72</f>
        <v>0</v>
      </c>
      <c r="E39" s="822"/>
      <c r="F39" s="3781"/>
      <c r="G39" s="822"/>
      <c r="H39" s="3781"/>
    </row>
    <row r="40" spans="1:8" s="2837" customFormat="1" ht="6" customHeight="1">
      <c r="D40" s="822"/>
      <c r="E40" s="822"/>
      <c r="F40" s="3782"/>
      <c r="G40" s="824"/>
      <c r="H40" s="3782"/>
    </row>
    <row r="41" spans="1:8" s="2837" customFormat="1">
      <c r="A41" s="830" t="s">
        <v>456</v>
      </c>
      <c r="B41" s="822"/>
      <c r="C41" s="822"/>
      <c r="D41" s="822"/>
      <c r="E41" s="826"/>
      <c r="F41" s="826"/>
      <c r="G41" s="822"/>
    </row>
    <row r="42" spans="1:8" s="2837" customFormat="1" ht="41.25" customHeight="1">
      <c r="A42" s="3771" t="str">
        <f>'Part IV-A-Uses of Funds'!$C$85</f>
        <v>Radon Testing</v>
      </c>
      <c r="B42" s="3772"/>
      <c r="C42" s="3772"/>
      <c r="D42" s="3773"/>
      <c r="F42" s="3777" t="s">
        <v>6914</v>
      </c>
      <c r="G42" s="822"/>
      <c r="H42" s="3783" t="s">
        <v>6915</v>
      </c>
    </row>
    <row r="43" spans="1:8" s="2837" customFormat="1" ht="41.25" customHeight="1">
      <c r="A43" s="3774"/>
      <c r="B43" s="3775"/>
      <c r="C43" s="3775"/>
      <c r="D43" s="3776"/>
      <c r="E43" s="822"/>
      <c r="F43" s="3778"/>
      <c r="G43" s="822"/>
      <c r="H43" s="3778"/>
    </row>
    <row r="44" spans="1:8" s="2837" customFormat="1" ht="4.5" customHeight="1">
      <c r="A44" s="822"/>
      <c r="B44" s="822"/>
      <c r="C44" s="822"/>
      <c r="D44" s="822"/>
      <c r="E44" s="822"/>
      <c r="F44" s="3778"/>
      <c r="G44" s="822"/>
      <c r="H44" s="3778"/>
    </row>
    <row r="45" spans="1:8" s="2837" customFormat="1" ht="13.5" customHeight="1">
      <c r="A45" s="829" t="s">
        <v>3338</v>
      </c>
      <c r="B45" s="828">
        <f>'Part IV-A-Uses of Funds'!$G$85</f>
        <v>5500</v>
      </c>
      <c r="C45" s="829" t="s">
        <v>1710</v>
      </c>
      <c r="D45" s="828">
        <f>'Part IV-A-Uses of Funds'!$J$85+'Part IV-A-Uses of Funds'!$M$85+'Part IV-A-Uses of Funds'!$P$85</f>
        <v>5500</v>
      </c>
      <c r="E45" s="822"/>
      <c r="F45" s="3778"/>
      <c r="G45" s="822"/>
      <c r="H45" s="3778"/>
    </row>
    <row r="46" spans="1:8" s="2837" customFormat="1" ht="6" customHeight="1">
      <c r="A46" s="822"/>
      <c r="B46" s="823"/>
      <c r="C46" s="822"/>
      <c r="D46" s="822"/>
      <c r="E46" s="822"/>
      <c r="F46" s="3779"/>
      <c r="G46" s="824"/>
      <c r="H46" s="3779"/>
    </row>
    <row r="47" spans="1:8" s="2837" customFormat="1">
      <c r="A47" s="830" t="s">
        <v>694</v>
      </c>
      <c r="B47" s="822"/>
      <c r="C47" s="822"/>
      <c r="D47" s="822"/>
      <c r="E47" s="822"/>
      <c r="F47" s="822"/>
      <c r="G47" s="822"/>
    </row>
    <row r="48" spans="1:8" s="2837" customFormat="1" ht="41.25" customHeight="1">
      <c r="A48" s="3771" t="str">
        <f>'Part IV-A-Uses of Funds'!$C$102</f>
        <v>&lt;&lt; Enter description here; provide detail &amp; justification in tab Part IV-b &gt;&gt;</v>
      </c>
      <c r="B48" s="3772"/>
      <c r="C48" s="3772"/>
      <c r="D48" s="3773"/>
      <c r="F48" s="3777"/>
      <c r="G48" s="822"/>
    </row>
    <row r="49" spans="1:7" s="2837" customFormat="1" ht="41.25" customHeight="1">
      <c r="A49" s="3774"/>
      <c r="B49" s="3775"/>
      <c r="C49" s="3775"/>
      <c r="D49" s="3776"/>
      <c r="E49" s="822"/>
      <c r="F49" s="3778"/>
      <c r="G49" s="822"/>
    </row>
    <row r="50" spans="1:7" s="2837" customFormat="1" ht="3" customHeight="1">
      <c r="A50" s="822"/>
      <c r="B50" s="822"/>
      <c r="C50" s="822"/>
      <c r="D50" s="822"/>
      <c r="E50" s="822"/>
      <c r="F50" s="3778"/>
      <c r="G50" s="822"/>
    </row>
    <row r="51" spans="1:7" s="2837" customFormat="1" ht="13.5" customHeight="1">
      <c r="A51" s="829" t="s">
        <v>3338</v>
      </c>
      <c r="B51" s="828">
        <f>'Part IV-A-Uses of Funds'!$G$102</f>
        <v>0</v>
      </c>
      <c r="C51" s="825"/>
      <c r="D51" s="825"/>
      <c r="E51" s="822"/>
      <c r="F51" s="3778"/>
      <c r="G51" s="822"/>
    </row>
    <row r="52" spans="1:7" s="2837" customFormat="1" ht="3.75" customHeight="1">
      <c r="A52" s="822"/>
      <c r="B52" s="822"/>
      <c r="C52" s="822"/>
      <c r="D52" s="822"/>
      <c r="E52" s="822"/>
      <c r="F52" s="3779"/>
      <c r="G52" s="824"/>
    </row>
    <row r="53" spans="1:7" s="2837" customFormat="1">
      <c r="A53" s="830" t="s">
        <v>3339</v>
      </c>
      <c r="B53" s="822"/>
      <c r="C53" s="822"/>
      <c r="D53" s="822"/>
      <c r="E53" s="822"/>
      <c r="F53" s="822"/>
      <c r="G53" s="822"/>
    </row>
    <row r="54" spans="1:7" s="2837" customFormat="1" ht="41.25" customHeight="1">
      <c r="A54" s="3771" t="str">
        <f>'Part IV-A-Uses of Funds'!$C$112</f>
        <v>&lt;&lt; Enter description here; provide detail &amp; justification in tab Part IV-b &gt;&gt;</v>
      </c>
      <c r="B54" s="3772"/>
      <c r="C54" s="3772"/>
      <c r="D54" s="3773"/>
      <c r="F54" s="3780"/>
      <c r="G54" s="822"/>
    </row>
    <row r="55" spans="1:7" s="2837" customFormat="1" ht="41.25" customHeight="1">
      <c r="A55" s="3774"/>
      <c r="B55" s="3775"/>
      <c r="C55" s="3775"/>
      <c r="D55" s="3776"/>
      <c r="E55" s="822"/>
      <c r="F55" s="3781"/>
      <c r="G55" s="822"/>
    </row>
    <row r="56" spans="1:7" s="2837" customFormat="1" ht="3" customHeight="1">
      <c r="A56" s="822"/>
      <c r="B56" s="822"/>
      <c r="C56" s="822"/>
      <c r="D56" s="822"/>
      <c r="E56" s="822"/>
      <c r="F56" s="3781"/>
      <c r="G56" s="822"/>
    </row>
    <row r="57" spans="1:7" s="2837" customFormat="1" ht="25.5">
      <c r="A57" s="829" t="s">
        <v>3338</v>
      </c>
      <c r="B57" s="828">
        <f>'Part IV-A-Uses of Funds'!$G$112</f>
        <v>0</v>
      </c>
      <c r="C57" s="825"/>
      <c r="D57" s="825"/>
      <c r="E57" s="822"/>
      <c r="F57" s="3781"/>
      <c r="G57" s="822"/>
    </row>
    <row r="58" spans="1:7" s="2837" customFormat="1" ht="3.75" customHeight="1">
      <c r="A58" s="821"/>
      <c r="B58" s="821"/>
      <c r="C58" s="821"/>
      <c r="D58" s="821"/>
      <c r="E58" s="821"/>
      <c r="F58" s="3781"/>
      <c r="G58" s="824"/>
    </row>
    <row r="59" spans="1:7" s="2837" customFormat="1" ht="41.25" customHeight="1">
      <c r="A59" s="3771" t="str">
        <f>'Part IV-A-Uses of Funds'!$C$113</f>
        <v>&lt;&lt; Enter description here; provide detail &amp; justification in tab Part IV-b &gt;&gt;</v>
      </c>
      <c r="B59" s="3772"/>
      <c r="C59" s="3772"/>
      <c r="D59" s="3773"/>
      <c r="F59" s="3781"/>
      <c r="G59" s="822"/>
    </row>
    <row r="60" spans="1:7" s="2837" customFormat="1" ht="41.25" customHeight="1">
      <c r="A60" s="3774"/>
      <c r="B60" s="3775"/>
      <c r="C60" s="3775"/>
      <c r="D60" s="3776"/>
      <c r="E60" s="822"/>
      <c r="F60" s="3781"/>
      <c r="G60" s="822"/>
    </row>
    <row r="61" spans="1:7" s="2837" customFormat="1" ht="3" customHeight="1">
      <c r="A61" s="822"/>
      <c r="B61" s="822"/>
      <c r="C61" s="822"/>
      <c r="D61" s="822"/>
      <c r="E61" s="822"/>
      <c r="F61" s="3781"/>
      <c r="G61" s="822"/>
    </row>
    <row r="62" spans="1:7" s="2837" customFormat="1" ht="25.5">
      <c r="A62" s="829" t="s">
        <v>3338</v>
      </c>
      <c r="B62" s="828">
        <f>'Part IV-A-Uses of Funds'!$G$113</f>
        <v>0</v>
      </c>
      <c r="C62" s="825"/>
      <c r="D62" s="825"/>
      <c r="E62" s="822"/>
      <c r="F62" s="3781"/>
      <c r="G62" s="822"/>
    </row>
    <row r="63" spans="1:7" s="2837" customFormat="1" ht="3.75" customHeight="1">
      <c r="A63" s="821"/>
      <c r="B63" s="821"/>
      <c r="C63" s="821"/>
      <c r="D63" s="821"/>
      <c r="E63" s="821"/>
      <c r="F63" s="3782"/>
      <c r="G63" s="824"/>
    </row>
    <row r="64" spans="1:7" s="2837" customFormat="1">
      <c r="A64" s="830" t="s">
        <v>3340</v>
      </c>
      <c r="B64" s="822"/>
      <c r="C64" s="822"/>
      <c r="D64" s="822"/>
      <c r="E64" s="822"/>
      <c r="F64" s="822"/>
      <c r="G64" s="822"/>
    </row>
    <row r="65" spans="1:8" s="2837" customFormat="1" ht="41.25" customHeight="1">
      <c r="A65" s="3771" t="str">
        <f>'Part IV-A-Uses of Funds'!$C$119</f>
        <v>&lt;&lt; Enter description here; provide detail &amp; justification in tab Part IV-b &gt;&gt;</v>
      </c>
      <c r="B65" s="3772"/>
      <c r="C65" s="3772"/>
      <c r="D65" s="3773"/>
      <c r="F65" s="3777"/>
      <c r="G65" s="822"/>
    </row>
    <row r="66" spans="1:8" s="2837" customFormat="1" ht="41.25" customHeight="1">
      <c r="A66" s="3774"/>
      <c r="B66" s="3775"/>
      <c r="C66" s="3775"/>
      <c r="D66" s="3776"/>
      <c r="E66" s="822"/>
      <c r="F66" s="3778"/>
      <c r="G66" s="822"/>
    </row>
    <row r="67" spans="1:8" s="2837" customFormat="1" ht="3" customHeight="1">
      <c r="A67" s="822"/>
      <c r="B67" s="822"/>
      <c r="C67" s="822"/>
      <c r="D67" s="822"/>
      <c r="E67" s="822"/>
      <c r="F67" s="3778"/>
      <c r="G67" s="822"/>
    </row>
    <row r="68" spans="1:8" s="2837" customFormat="1" ht="25.5">
      <c r="A68" s="829" t="s">
        <v>3338</v>
      </c>
      <c r="B68" s="828">
        <f>'Part IV-A-Uses of Funds'!$G$119</f>
        <v>0</v>
      </c>
      <c r="C68" s="825"/>
      <c r="D68" s="825"/>
      <c r="E68" s="822"/>
      <c r="F68" s="3778"/>
      <c r="G68" s="822"/>
    </row>
    <row r="69" spans="1:8" s="2837" customFormat="1" ht="3.75" customHeight="1">
      <c r="A69" s="822"/>
      <c r="B69" s="823"/>
      <c r="C69" s="822"/>
      <c r="D69" s="822"/>
      <c r="E69" s="822"/>
      <c r="F69" s="3779"/>
      <c r="G69" s="824"/>
    </row>
    <row r="70" spans="1:8" s="2837" customFormat="1">
      <c r="A70" s="830" t="s">
        <v>1260</v>
      </c>
      <c r="B70" s="822"/>
      <c r="C70" s="822"/>
      <c r="D70" s="822"/>
      <c r="E70" s="822"/>
      <c r="F70" s="822"/>
      <c r="G70" s="822"/>
    </row>
    <row r="71" spans="1:8" s="2837" customFormat="1" ht="41.25" customHeight="1">
      <c r="A71" s="3771" t="str">
        <f>'Part IV-A-Uses of Funds'!$C$134</f>
        <v>Tax and Insurance Escrow</v>
      </c>
      <c r="B71" s="3772"/>
      <c r="C71" s="3772"/>
      <c r="D71" s="3773"/>
      <c r="F71" s="3777" t="s">
        <v>6916</v>
      </c>
      <c r="G71" s="822"/>
      <c r="H71" s="3777" t="s">
        <v>6917</v>
      </c>
    </row>
    <row r="72" spans="1:8" s="2837" customFormat="1" ht="41.25" customHeight="1">
      <c r="A72" s="3774"/>
      <c r="B72" s="3775"/>
      <c r="C72" s="3775"/>
      <c r="D72" s="3776"/>
      <c r="E72" s="822"/>
      <c r="F72" s="3778"/>
      <c r="G72" s="822"/>
      <c r="H72" s="3778"/>
    </row>
    <row r="73" spans="1:8" s="2837" customFormat="1" ht="4.5" customHeight="1">
      <c r="A73" s="822"/>
      <c r="B73" s="822"/>
      <c r="C73" s="822"/>
      <c r="D73" s="822"/>
      <c r="E73" s="822"/>
      <c r="F73" s="3778"/>
      <c r="G73" s="822"/>
      <c r="H73" s="3778"/>
    </row>
    <row r="74" spans="1:8" s="2837" customFormat="1" ht="12.75" customHeight="1">
      <c r="A74" s="829" t="s">
        <v>3338</v>
      </c>
      <c r="B74" s="828">
        <f>'Part IV-A-Uses of Funds'!$G$134</f>
        <v>60000</v>
      </c>
      <c r="C74" s="829" t="s">
        <v>1710</v>
      </c>
      <c r="D74" s="828">
        <f>'Part IV-A-Uses of Funds'!$J$134+'Part IV-A-Uses of Funds'!$M$134+'Part IV-A-Uses of Funds'!$P$134</f>
        <v>0</v>
      </c>
      <c r="E74" s="822"/>
      <c r="F74" s="3778"/>
      <c r="G74" s="822"/>
      <c r="H74" s="3778"/>
    </row>
    <row r="75" spans="1:8" s="2837" customFormat="1" ht="6" customHeight="1">
      <c r="A75" s="822"/>
      <c r="B75" s="823"/>
      <c r="C75" s="822"/>
      <c r="D75" s="822"/>
      <c r="E75" s="822"/>
      <c r="F75" s="3779"/>
      <c r="G75" s="824"/>
      <c r="H75" s="3779"/>
    </row>
    <row r="76" spans="1:8" s="2837" customFormat="1">
      <c r="A76" s="830" t="s">
        <v>3341</v>
      </c>
      <c r="B76" s="823"/>
      <c r="C76" s="822"/>
      <c r="D76" s="822"/>
      <c r="E76" s="822"/>
      <c r="F76" s="822"/>
      <c r="G76" s="824"/>
    </row>
    <row r="77" spans="1:8" s="2837" customFormat="1" ht="41.25" customHeight="1">
      <c r="A77" s="3771" t="str">
        <f>'Part IV-A-Uses of Funds'!$C$143</f>
        <v>&lt;&lt; Enter description here; provide detail &amp; justification in tab Part IV-b &gt;&gt;</v>
      </c>
      <c r="B77" s="3772"/>
      <c r="C77" s="3772"/>
      <c r="D77" s="3773"/>
      <c r="F77" s="3777"/>
      <c r="G77" s="822"/>
      <c r="H77" s="3777"/>
    </row>
    <row r="78" spans="1:8" s="2837" customFormat="1" ht="41.25" customHeight="1">
      <c r="A78" s="3774"/>
      <c r="B78" s="3775"/>
      <c r="C78" s="3775"/>
      <c r="D78" s="3776"/>
      <c r="E78" s="822"/>
      <c r="F78" s="3778"/>
      <c r="G78" s="822"/>
      <c r="H78" s="3778"/>
    </row>
    <row r="79" spans="1:8" s="2837" customFormat="1" ht="4.5" customHeight="1">
      <c r="A79" s="822"/>
      <c r="B79" s="822"/>
      <c r="C79" s="822"/>
      <c r="D79" s="822"/>
      <c r="E79" s="822"/>
      <c r="F79" s="3778"/>
      <c r="G79" s="822"/>
      <c r="H79" s="3778"/>
    </row>
    <row r="80" spans="1:8" s="2837" customFormat="1" ht="12.75" customHeight="1">
      <c r="A80" s="829" t="s">
        <v>3338</v>
      </c>
      <c r="B80" s="828">
        <f>'Part IV-A-Uses of Funds'!$G$143</f>
        <v>0</v>
      </c>
      <c r="C80" s="829" t="s">
        <v>1710</v>
      </c>
      <c r="D80" s="828">
        <f>'Part IV-A-Uses of Funds'!$J$143+'Part IV-A-Uses of Funds'!$M$143+'Part IV-A-Uses of Funds'!$P$143</f>
        <v>0</v>
      </c>
      <c r="E80" s="827"/>
      <c r="F80" s="3778"/>
      <c r="G80" s="822"/>
      <c r="H80" s="3778"/>
    </row>
    <row r="81" spans="4:8" s="2837" customFormat="1" ht="6" customHeight="1">
      <c r="D81" s="2838"/>
      <c r="E81" s="2839"/>
      <c r="F81" s="3779"/>
      <c r="G81" s="824"/>
      <c r="H81" s="3779"/>
    </row>
    <row r="82" spans="4:8" s="2837" customFormat="1"/>
    <row r="83" spans="4:8" s="2837" customFormat="1"/>
    <row r="84" spans="4:8" s="2837" customFormat="1"/>
    <row r="85" spans="4:8" s="2837" customFormat="1"/>
    <row r="86" spans="4:8" s="2837" customFormat="1"/>
    <row r="87" spans="4:8" s="2837" customFormat="1"/>
    <row r="88" spans="4:8" s="2837" customFormat="1"/>
    <row r="89" spans="4:8" s="2837" customFormat="1"/>
    <row r="90" spans="4:8" s="2837" customFormat="1"/>
    <row r="91" spans="4:8" s="2837" customFormat="1"/>
    <row r="92" spans="4:8" s="2837" customFormat="1"/>
  </sheetData>
  <sheetProtection algorithmName="SHA-512" hashValue="ycwCbJ4vH8wdWu2e9ksK1DxAFYU0RXjQdheFHkH9o+681JWhB0UfUOqJvNyosFxbnDNk8eFiVCgumueEl771Cw==" saltValue="q5r1iogmU+ek2eCgrGYLt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5" t="str">
        <f>CONCATENATE("PART FIVE - UTILITY ALLOWANCES","  -  ",'Part I-Project Information'!$O$7," ",'Part I-Project Information'!$F$35,", ",'Part I-Project Information'!F39,", ",'Part I-Project Information'!J40," County")</f>
        <v>PART FIVE - UTILITY ALLOWANCES  -  2021-041 Hunters Haven, Flemington, Liberty County</v>
      </c>
      <c r="B1" s="3826"/>
      <c r="C1" s="3826"/>
      <c r="D1" s="3826"/>
      <c r="E1" s="3826"/>
      <c r="F1" s="3826"/>
      <c r="G1" s="3826"/>
      <c r="H1" s="3826"/>
      <c r="I1" s="3826"/>
      <c r="J1" s="3826"/>
      <c r="K1" s="3826"/>
      <c r="L1" s="3826"/>
      <c r="M1" s="3826"/>
      <c r="N1" s="10"/>
      <c r="O1" s="10"/>
      <c r="P1" s="10"/>
      <c r="Q1" s="10"/>
      <c r="R1" s="16"/>
      <c r="S1" s="16"/>
      <c r="T1" s="16"/>
    </row>
    <row r="2" spans="1:25" s="8" customFormat="1" ht="7.5" customHeight="1"/>
    <row r="3" spans="1:25" s="8" customFormat="1" ht="12.75" customHeight="1">
      <c r="B3" s="3828" t="str">
        <f>'Part I-Project Information'!$B$7</f>
        <v>2021 Core Application</v>
      </c>
      <c r="C3" s="3828"/>
      <c r="D3" s="3828"/>
      <c r="E3" s="3828"/>
      <c r="F3" s="4" t="s">
        <v>3826</v>
      </c>
      <c r="I3" s="2651" t="str">
        <f>VLOOKUP('Part I-Project Information'!$J$40,'DCA Underwriting Assumptions'!$G$174:$H$333,2)</f>
        <v>South</v>
      </c>
    </row>
    <row r="4" spans="1:25" s="8" customFormat="1" ht="6" customHeight="1" thickBot="1"/>
    <row r="5" spans="1:25">
      <c r="A5" s="249" t="s">
        <v>6835</v>
      </c>
      <c r="O5" s="3793" t="s">
        <v>6834</v>
      </c>
      <c r="P5" s="3794"/>
      <c r="Q5" s="3794"/>
      <c r="R5" s="3794"/>
      <c r="S5" s="3794"/>
      <c r="T5" s="3794"/>
      <c r="U5" s="3795"/>
      <c r="V5" s="474"/>
      <c r="W5" s="474"/>
      <c r="X5" s="474"/>
      <c r="Y5" s="474"/>
    </row>
    <row r="6" spans="1:25" ht="6" customHeight="1">
      <c r="A6" s="8"/>
      <c r="O6" s="3796"/>
      <c r="P6" s="3797"/>
      <c r="Q6" s="3797"/>
      <c r="R6" s="3797"/>
      <c r="S6" s="3797"/>
      <c r="T6" s="3797"/>
      <c r="U6" s="3798"/>
      <c r="V6" s="474"/>
      <c r="W6" s="474"/>
      <c r="X6" s="474"/>
      <c r="Y6" s="474"/>
    </row>
    <row r="7" spans="1:25" s="8" customFormat="1" ht="13.5" customHeight="1">
      <c r="A7" s="13" t="s">
        <v>586</v>
      </c>
      <c r="B7" s="13" t="s">
        <v>2126</v>
      </c>
      <c r="F7" s="1" t="s">
        <v>2401</v>
      </c>
      <c r="G7" s="1"/>
      <c r="H7" s="1"/>
      <c r="I7" s="3827" t="s">
        <v>6921</v>
      </c>
      <c r="J7" s="3819"/>
      <c r="K7" s="3819"/>
      <c r="L7" s="3819"/>
      <c r="M7" s="3820"/>
      <c r="O7" s="3796"/>
      <c r="P7" s="3797"/>
      <c r="Q7" s="3797"/>
      <c r="R7" s="3797"/>
      <c r="S7" s="3797"/>
      <c r="T7" s="3797"/>
      <c r="U7" s="3798"/>
      <c r="V7" s="474"/>
      <c r="W7" s="474"/>
      <c r="X7" s="474"/>
      <c r="Y7" s="474"/>
    </row>
    <row r="8" spans="1:25" s="8" customFormat="1" ht="13.35" customHeight="1">
      <c r="A8" s="13"/>
      <c r="F8" s="1" t="s">
        <v>606</v>
      </c>
      <c r="G8" s="1"/>
      <c r="H8" s="33"/>
      <c r="I8" s="3821">
        <v>44197</v>
      </c>
      <c r="J8" s="3822"/>
      <c r="K8" s="6" t="s">
        <v>514</v>
      </c>
      <c r="L8" s="3823" t="s">
        <v>6599</v>
      </c>
      <c r="M8" s="3824"/>
      <c r="O8" s="3796"/>
      <c r="P8" s="3797"/>
      <c r="Q8" s="3797"/>
      <c r="R8" s="3797"/>
      <c r="S8" s="3797"/>
      <c r="T8" s="3797"/>
      <c r="U8" s="3798"/>
      <c r="V8" s="474"/>
      <c r="W8" s="474"/>
      <c r="X8" s="474"/>
      <c r="Y8" s="474"/>
    </row>
    <row r="9" spans="1:25" s="8" customFormat="1" ht="4.5" customHeight="1">
      <c r="A9" s="13"/>
      <c r="O9" s="3796"/>
      <c r="P9" s="3797"/>
      <c r="Q9" s="3797"/>
      <c r="R9" s="3797"/>
      <c r="S9" s="3797"/>
      <c r="T9" s="3797"/>
      <c r="U9" s="3798"/>
      <c r="V9" s="474"/>
      <c r="W9" s="474"/>
      <c r="X9" s="474"/>
      <c r="Y9" s="474"/>
    </row>
    <row r="10" spans="1:25" s="13" customFormat="1" ht="13.5" customHeight="1">
      <c r="B10" s="243"/>
      <c r="C10" s="243"/>
      <c r="D10" s="243"/>
      <c r="E10" s="243"/>
      <c r="F10" s="3809" t="s">
        <v>580</v>
      </c>
      <c r="G10" s="3809"/>
      <c r="I10" s="3810" t="s">
        <v>192</v>
      </c>
      <c r="J10" s="3810"/>
      <c r="K10" s="3810"/>
      <c r="L10" s="3810"/>
      <c r="M10" s="3810"/>
      <c r="O10" s="3796"/>
      <c r="P10" s="3797"/>
      <c r="Q10" s="3797"/>
      <c r="R10" s="3797"/>
      <c r="S10" s="3797"/>
      <c r="T10" s="3797"/>
      <c r="U10" s="3798"/>
    </row>
    <row r="11" spans="1:25" s="13" customFormat="1" ht="13.5" customHeight="1">
      <c r="B11" s="243" t="s">
        <v>765</v>
      </c>
      <c r="D11" s="243" t="s">
        <v>1533</v>
      </c>
      <c r="F11" s="2647" t="s">
        <v>612</v>
      </c>
      <c r="G11" s="2647" t="s">
        <v>1764</v>
      </c>
      <c r="I11" s="244" t="s">
        <v>539</v>
      </c>
      <c r="J11" s="245">
        <v>1</v>
      </c>
      <c r="K11" s="245">
        <v>2</v>
      </c>
      <c r="L11" s="245">
        <v>3</v>
      </c>
      <c r="M11" s="245">
        <v>4</v>
      </c>
      <c r="O11" s="3796"/>
      <c r="P11" s="3797"/>
      <c r="Q11" s="3797"/>
      <c r="R11" s="3797"/>
      <c r="S11" s="3797"/>
      <c r="T11" s="3797"/>
      <c r="U11" s="3798"/>
    </row>
    <row r="12" spans="1:25" s="8" customFormat="1" ht="12" customHeight="1" thickBot="1">
      <c r="B12" s="1346" t="s">
        <v>1766</v>
      </c>
      <c r="C12" s="1347"/>
      <c r="D12" s="3811" t="s">
        <v>6918</v>
      </c>
      <c r="E12" s="3812"/>
      <c r="F12" s="2840" t="s">
        <v>422</v>
      </c>
      <c r="G12" s="2840"/>
      <c r="H12" s="908"/>
      <c r="I12" s="2841"/>
      <c r="J12" s="2841">
        <v>4</v>
      </c>
      <c r="K12" s="2841">
        <v>5</v>
      </c>
      <c r="L12" s="2841">
        <v>6</v>
      </c>
      <c r="M12" s="2841"/>
      <c r="O12" s="3799"/>
      <c r="P12" s="3800"/>
      <c r="Q12" s="3800"/>
      <c r="R12" s="3800"/>
      <c r="S12" s="3800"/>
      <c r="T12" s="3800"/>
      <c r="U12" s="3801"/>
    </row>
    <row r="13" spans="1:25" s="8" customFormat="1" ht="12" customHeight="1">
      <c r="B13" s="1348" t="s">
        <v>1531</v>
      </c>
      <c r="C13" s="1349"/>
      <c r="D13" s="3813" t="s">
        <v>1530</v>
      </c>
      <c r="E13" s="3814"/>
      <c r="F13" s="2842" t="s">
        <v>422</v>
      </c>
      <c r="G13" s="2842"/>
      <c r="H13" s="907"/>
      <c r="I13" s="2843"/>
      <c r="J13" s="2843">
        <v>7</v>
      </c>
      <c r="K13" s="2843">
        <v>9</v>
      </c>
      <c r="L13" s="2844">
        <v>11</v>
      </c>
      <c r="M13" s="2844"/>
      <c r="O13" s="3802" t="s">
        <v>3410</v>
      </c>
      <c r="P13" s="3802"/>
      <c r="Q13" s="3802"/>
    </row>
    <row r="14" spans="1:25" s="8" customFormat="1" ht="12" customHeight="1">
      <c r="B14" s="1350" t="s">
        <v>1532</v>
      </c>
      <c r="C14" s="1351"/>
      <c r="D14" s="3813" t="s">
        <v>1530</v>
      </c>
      <c r="E14" s="3814"/>
      <c r="F14" s="2842" t="s">
        <v>422</v>
      </c>
      <c r="G14" s="2842"/>
      <c r="H14" s="246"/>
      <c r="I14" s="2843"/>
      <c r="J14" s="2843">
        <v>13</v>
      </c>
      <c r="K14" s="2843">
        <v>18</v>
      </c>
      <c r="L14" s="2844">
        <v>23</v>
      </c>
      <c r="M14" s="2844"/>
      <c r="O14" s="3802"/>
      <c r="P14" s="3802"/>
      <c r="Q14" s="3802"/>
    </row>
    <row r="15" spans="1:25" s="8" customFormat="1" ht="12" customHeight="1">
      <c r="B15" s="1352" t="s">
        <v>447</v>
      </c>
      <c r="C15" s="1353"/>
      <c r="D15" s="1352" t="s">
        <v>1530</v>
      </c>
      <c r="E15" s="247"/>
      <c r="F15" s="2842" t="s">
        <v>422</v>
      </c>
      <c r="G15" s="2842"/>
      <c r="H15" s="906"/>
      <c r="I15" s="2843"/>
      <c r="J15" s="2843">
        <v>10</v>
      </c>
      <c r="K15" s="2843">
        <v>12</v>
      </c>
      <c r="L15" s="2844">
        <v>16</v>
      </c>
      <c r="M15" s="2844"/>
      <c r="O15" s="3802"/>
      <c r="P15" s="3802"/>
      <c r="Q15" s="3802"/>
    </row>
    <row r="16" spans="1:25" s="8" customFormat="1" ht="12" customHeight="1">
      <c r="B16" s="1354" t="s">
        <v>3404</v>
      </c>
      <c r="C16" s="1349"/>
      <c r="D16" s="1348" t="s">
        <v>1530</v>
      </c>
      <c r="E16" s="905"/>
      <c r="F16" s="2842"/>
      <c r="G16" s="2842"/>
      <c r="H16" s="907"/>
      <c r="I16" s="2843"/>
      <c r="J16" s="2843"/>
      <c r="K16" s="2843"/>
      <c r="L16" s="2844"/>
      <c r="M16" s="2844"/>
      <c r="O16" s="3802"/>
      <c r="P16" s="3802"/>
      <c r="Q16" s="3802"/>
    </row>
    <row r="17" spans="1:25" s="8" customFormat="1" ht="12" customHeight="1">
      <c r="B17" s="1354" t="s">
        <v>3405</v>
      </c>
      <c r="C17" s="1349"/>
      <c r="D17" s="1348" t="s">
        <v>1530</v>
      </c>
      <c r="E17" s="905"/>
      <c r="F17" s="2842"/>
      <c r="G17" s="2842"/>
      <c r="H17" s="907"/>
      <c r="I17" s="2843"/>
      <c r="J17" s="2843"/>
      <c r="K17" s="2843"/>
      <c r="L17" s="2844"/>
      <c r="M17" s="2844"/>
      <c r="O17" s="3802"/>
      <c r="P17" s="3802"/>
      <c r="Q17" s="3802"/>
    </row>
    <row r="18" spans="1:25" s="8" customFormat="1" ht="12" customHeight="1">
      <c r="B18" s="1355" t="s">
        <v>3406</v>
      </c>
      <c r="C18" s="1351"/>
      <c r="D18" s="1350" t="s">
        <v>1530</v>
      </c>
      <c r="E18" s="905"/>
      <c r="F18" s="2842" t="s">
        <v>422</v>
      </c>
      <c r="G18" s="2842"/>
      <c r="H18" s="246"/>
      <c r="I18" s="2843"/>
      <c r="J18" s="2843">
        <v>21</v>
      </c>
      <c r="K18" s="2843">
        <v>27</v>
      </c>
      <c r="L18" s="2844">
        <v>33</v>
      </c>
      <c r="M18" s="2844"/>
      <c r="O18" s="3802"/>
      <c r="P18" s="3802"/>
      <c r="Q18" s="3802"/>
    </row>
    <row r="19" spans="1:25" s="8" customFormat="1" ht="12" customHeight="1">
      <c r="B19" s="1352" t="s">
        <v>1321</v>
      </c>
      <c r="C19" s="1353"/>
      <c r="D19" s="1358" t="s">
        <v>3197</v>
      </c>
      <c r="E19" s="2845" t="s">
        <v>2769</v>
      </c>
      <c r="F19" s="2842"/>
      <c r="G19" s="2842" t="s">
        <v>422</v>
      </c>
      <c r="H19" s="906"/>
      <c r="I19" s="2843"/>
      <c r="J19" s="2843"/>
      <c r="K19" s="2843"/>
      <c r="L19" s="2844"/>
      <c r="M19" s="2844"/>
      <c r="O19" s="3802"/>
      <c r="P19" s="3802"/>
      <c r="Q19" s="3802"/>
    </row>
    <row r="20" spans="1:25" s="8" customFormat="1" ht="12" customHeight="1">
      <c r="B20" s="1356" t="s">
        <v>1765</v>
      </c>
      <c r="C20" s="1357"/>
      <c r="D20" s="248"/>
      <c r="E20" s="220"/>
      <c r="F20" s="2842"/>
      <c r="G20" s="2842" t="s">
        <v>422</v>
      </c>
      <c r="H20" s="907"/>
      <c r="I20" s="2843"/>
      <c r="J20" s="2843"/>
      <c r="K20" s="2843"/>
      <c r="L20" s="2844"/>
      <c r="M20" s="2844"/>
      <c r="O20" s="3802"/>
      <c r="P20" s="3802"/>
      <c r="Q20" s="3802"/>
    </row>
    <row r="21" spans="1:25" s="8" customFormat="1" ht="12" customHeight="1">
      <c r="B21" s="1356" t="s">
        <v>711</v>
      </c>
      <c r="C21" s="3815"/>
      <c r="D21" s="3816"/>
      <c r="E21" s="3817"/>
      <c r="F21" s="2846"/>
      <c r="G21" s="2846"/>
      <c r="H21" s="909"/>
      <c r="I21" s="2847"/>
      <c r="J21" s="2847"/>
      <c r="K21" s="2847"/>
      <c r="L21" s="2848"/>
      <c r="M21" s="2848"/>
      <c r="O21" s="3802"/>
      <c r="P21" s="3802"/>
      <c r="Q21" s="3802"/>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55</v>
      </c>
      <c r="K22" s="149">
        <f>IF(SUM(K12:K21)=0,0,IF(OR($D12="&lt;&lt;Select Fuel &gt;&gt;",$D13="&lt;&lt;Select Fuel &gt;&gt;",$D14="&lt;&lt;Select Fuel &gt;&gt;"),"Select Fuel",IF($E19="&lt;Select&gt;","Submeter?",SUM(K12:K21))))</f>
        <v>71</v>
      </c>
      <c r="L22" s="149">
        <f>IF(SUM(L12:L21)=0,0,IF(OR($D12="&lt;&lt;Select Fuel &gt;&gt;",$D13="&lt;&lt;Select Fuel &gt;&gt;",$D14="&lt;&lt;Select Fuel &gt;&gt;"),"Select Fuel",IF($E19="&lt;Select&gt;","Submeter?",SUM(L12:L21))))</f>
        <v>89</v>
      </c>
      <c r="M22" s="149">
        <f>IF(SUM(M12:M21)=0,0,IF(OR($D12="&lt;&lt;Select Fuel &gt;&gt;",$D13="&lt;&lt;Select Fuel &gt;&gt;",$D14="&lt;&lt;Select Fuel &gt;&gt;"),"Select Fuel",IF($E19="&lt;Select&gt;","Submeter?",SUM(M12:M21))))</f>
        <v>0</v>
      </c>
    </row>
    <row r="23" spans="1:25" s="8" customFormat="1" ht="7.5" customHeight="1">
      <c r="M23" s="27"/>
      <c r="N23" s="27"/>
      <c r="O23" s="3793" t="s">
        <v>6834</v>
      </c>
      <c r="P23" s="3794"/>
      <c r="Q23" s="3794"/>
      <c r="R23" s="3794"/>
      <c r="S23" s="3794"/>
      <c r="T23" s="3794"/>
      <c r="U23" s="3795"/>
      <c r="V23" s="474"/>
      <c r="W23" s="474"/>
      <c r="X23" s="474"/>
      <c r="Y23" s="474"/>
    </row>
    <row r="24" spans="1:25" s="8" customFormat="1" ht="12.75" customHeight="1">
      <c r="A24" s="13" t="s">
        <v>710</v>
      </c>
      <c r="B24" s="13" t="s">
        <v>2127</v>
      </c>
      <c r="F24" s="1" t="s">
        <v>2401</v>
      </c>
      <c r="G24" s="1"/>
      <c r="H24" s="1"/>
      <c r="I24" s="3818"/>
      <c r="J24" s="3819"/>
      <c r="K24" s="3819"/>
      <c r="L24" s="3819"/>
      <c r="M24" s="3820"/>
      <c r="O24" s="3796"/>
      <c r="P24" s="3797"/>
      <c r="Q24" s="3797"/>
      <c r="R24" s="3797"/>
      <c r="S24" s="3797"/>
      <c r="T24" s="3797"/>
      <c r="U24" s="3798"/>
      <c r="V24" s="474"/>
      <c r="W24" s="474"/>
      <c r="X24" s="474"/>
      <c r="Y24" s="474"/>
    </row>
    <row r="25" spans="1:25" s="8" customFormat="1" ht="13.35" customHeight="1">
      <c r="A25" s="13"/>
      <c r="B25" s="13"/>
      <c r="F25" s="1" t="s">
        <v>606</v>
      </c>
      <c r="G25" s="1"/>
      <c r="H25" s="33"/>
      <c r="I25" s="3821"/>
      <c r="J25" s="3822"/>
      <c r="K25" s="6" t="s">
        <v>514</v>
      </c>
      <c r="L25" s="3823"/>
      <c r="M25" s="3824"/>
      <c r="O25" s="3796"/>
      <c r="P25" s="3797"/>
      <c r="Q25" s="3797"/>
      <c r="R25" s="3797"/>
      <c r="S25" s="3797"/>
      <c r="T25" s="3797"/>
      <c r="U25" s="3798"/>
      <c r="V25" s="474"/>
      <c r="W25" s="474"/>
      <c r="X25" s="474"/>
      <c r="Y25" s="474"/>
    </row>
    <row r="26" spans="1:25" s="8" customFormat="1" ht="4.5" customHeight="1">
      <c r="A26" s="13"/>
      <c r="O26" s="3796"/>
      <c r="P26" s="3797"/>
      <c r="Q26" s="3797"/>
      <c r="R26" s="3797"/>
      <c r="S26" s="3797"/>
      <c r="T26" s="3797"/>
      <c r="U26" s="3798"/>
      <c r="V26" s="474"/>
      <c r="W26" s="474"/>
      <c r="X26" s="474"/>
      <c r="Y26" s="474"/>
    </row>
    <row r="27" spans="1:25" s="13" customFormat="1">
      <c r="B27" s="243"/>
      <c r="C27" s="243"/>
      <c r="D27" s="243"/>
      <c r="E27" s="243"/>
      <c r="F27" s="3809" t="s">
        <v>580</v>
      </c>
      <c r="G27" s="3809"/>
      <c r="I27" s="3810" t="s">
        <v>192</v>
      </c>
      <c r="J27" s="3810"/>
      <c r="K27" s="3810"/>
      <c r="L27" s="3810"/>
      <c r="M27" s="3810"/>
      <c r="O27" s="3796"/>
      <c r="P27" s="3797"/>
      <c r="Q27" s="3797"/>
      <c r="R27" s="3797"/>
      <c r="S27" s="3797"/>
      <c r="T27" s="3797"/>
      <c r="U27" s="3798"/>
      <c r="V27" s="474"/>
      <c r="W27" s="474"/>
      <c r="X27" s="474"/>
      <c r="Y27" s="474"/>
    </row>
    <row r="28" spans="1:25" s="13" customFormat="1">
      <c r="B28" s="243" t="s">
        <v>765</v>
      </c>
      <c r="D28" s="243" t="s">
        <v>1533</v>
      </c>
      <c r="F28" s="2647" t="s">
        <v>612</v>
      </c>
      <c r="G28" s="2647" t="s">
        <v>1764</v>
      </c>
      <c r="I28" s="244" t="s">
        <v>539</v>
      </c>
      <c r="J28" s="245">
        <v>1</v>
      </c>
      <c r="K28" s="245">
        <v>2</v>
      </c>
      <c r="L28" s="245">
        <v>3</v>
      </c>
      <c r="M28" s="245">
        <v>4</v>
      </c>
      <c r="O28" s="3796"/>
      <c r="P28" s="3797"/>
      <c r="Q28" s="3797"/>
      <c r="R28" s="3797"/>
      <c r="S28" s="3797"/>
      <c r="T28" s="3797"/>
      <c r="U28" s="3798"/>
    </row>
    <row r="29" spans="1:25" s="8" customFormat="1" ht="12" customHeight="1">
      <c r="B29" s="1346" t="s">
        <v>1766</v>
      </c>
      <c r="C29" s="1347"/>
      <c r="D29" s="3811" t="s">
        <v>1736</v>
      </c>
      <c r="E29" s="3812"/>
      <c r="F29" s="2840"/>
      <c r="G29" s="2840"/>
      <c r="H29" s="908"/>
      <c r="I29" s="2841"/>
      <c r="J29" s="2841"/>
      <c r="K29" s="2841"/>
      <c r="L29" s="2841"/>
      <c r="M29" s="2841"/>
      <c r="O29" s="3796"/>
      <c r="P29" s="3797"/>
      <c r="Q29" s="3797"/>
      <c r="R29" s="3797"/>
      <c r="S29" s="3797"/>
      <c r="T29" s="3797"/>
      <c r="U29" s="3798"/>
      <c r="V29" s="13"/>
      <c r="W29" s="13"/>
      <c r="X29" s="13"/>
      <c r="Y29" s="13"/>
    </row>
    <row r="30" spans="1:25" s="8" customFormat="1" ht="12" customHeight="1" thickBot="1">
      <c r="B30" s="1348" t="s">
        <v>1531</v>
      </c>
      <c r="C30" s="1349"/>
      <c r="D30" s="3813" t="s">
        <v>1736</v>
      </c>
      <c r="E30" s="3814"/>
      <c r="F30" s="2842"/>
      <c r="G30" s="2842"/>
      <c r="H30" s="907"/>
      <c r="I30" s="2843"/>
      <c r="J30" s="2843"/>
      <c r="K30" s="2843"/>
      <c r="L30" s="2844"/>
      <c r="M30" s="2844"/>
      <c r="O30" s="3799"/>
      <c r="P30" s="3800"/>
      <c r="Q30" s="3800"/>
      <c r="R30" s="3800"/>
      <c r="S30" s="3800"/>
      <c r="T30" s="3800"/>
      <c r="U30" s="3801"/>
    </row>
    <row r="31" spans="1:25" s="8" customFormat="1" ht="12" customHeight="1">
      <c r="B31" s="1350" t="s">
        <v>1532</v>
      </c>
      <c r="C31" s="1351"/>
      <c r="D31" s="3813" t="s">
        <v>1736</v>
      </c>
      <c r="E31" s="3814"/>
      <c r="F31" s="2842"/>
      <c r="G31" s="2842"/>
      <c r="H31" s="246"/>
      <c r="I31" s="2843"/>
      <c r="J31" s="2843"/>
      <c r="K31" s="2843"/>
      <c r="L31" s="2844"/>
      <c r="M31" s="2844"/>
      <c r="O31" s="3802" t="s">
        <v>3410</v>
      </c>
      <c r="P31" s="3802"/>
      <c r="Q31" s="3802"/>
    </row>
    <row r="32" spans="1:25" s="8" customFormat="1" ht="12" customHeight="1">
      <c r="B32" s="1352" t="s">
        <v>447</v>
      </c>
      <c r="C32" s="1353"/>
      <c r="D32" s="1352" t="s">
        <v>1530</v>
      </c>
      <c r="E32" s="247"/>
      <c r="F32" s="2842"/>
      <c r="G32" s="2842"/>
      <c r="H32" s="906"/>
      <c r="I32" s="2843"/>
      <c r="J32" s="2843"/>
      <c r="K32" s="2843"/>
      <c r="L32" s="2844"/>
      <c r="M32" s="2844"/>
      <c r="O32" s="3802"/>
      <c r="P32" s="3802"/>
      <c r="Q32" s="3802"/>
    </row>
    <row r="33" spans="1:19" s="8" customFormat="1" ht="12" customHeight="1">
      <c r="B33" s="1354" t="s">
        <v>3404</v>
      </c>
      <c r="C33" s="1349"/>
      <c r="D33" s="1348" t="s">
        <v>1530</v>
      </c>
      <c r="E33" s="905"/>
      <c r="F33" s="2842"/>
      <c r="G33" s="2842"/>
      <c r="H33" s="907"/>
      <c r="I33" s="2843"/>
      <c r="J33" s="2843"/>
      <c r="K33" s="2843"/>
      <c r="L33" s="2844"/>
      <c r="M33" s="2844"/>
      <c r="O33" s="3802"/>
      <c r="P33" s="3802"/>
      <c r="Q33" s="3802"/>
    </row>
    <row r="34" spans="1:19" s="8" customFormat="1" ht="12" customHeight="1">
      <c r="B34" s="1354" t="s">
        <v>3405</v>
      </c>
      <c r="C34" s="1349"/>
      <c r="D34" s="1348" t="s">
        <v>1530</v>
      </c>
      <c r="E34" s="905"/>
      <c r="F34" s="2842"/>
      <c r="G34" s="2842"/>
      <c r="H34" s="907"/>
      <c r="I34" s="2843"/>
      <c r="J34" s="2843"/>
      <c r="K34" s="2843"/>
      <c r="L34" s="2844"/>
      <c r="M34" s="2844"/>
      <c r="O34" s="3802"/>
      <c r="P34" s="3802"/>
      <c r="Q34" s="3802"/>
    </row>
    <row r="35" spans="1:19" s="8" customFormat="1" ht="12" customHeight="1">
      <c r="B35" s="1355" t="s">
        <v>3406</v>
      </c>
      <c r="C35" s="1351"/>
      <c r="D35" s="1350" t="s">
        <v>1530</v>
      </c>
      <c r="E35" s="905"/>
      <c r="F35" s="2842"/>
      <c r="G35" s="2842"/>
      <c r="H35" s="246"/>
      <c r="I35" s="2843"/>
      <c r="J35" s="2843"/>
      <c r="K35" s="2843"/>
      <c r="L35" s="2844"/>
      <c r="M35" s="2844"/>
      <c r="O35" s="3802"/>
      <c r="P35" s="3802"/>
      <c r="Q35" s="3802"/>
    </row>
    <row r="36" spans="1:19" s="8" customFormat="1" ht="12" customHeight="1">
      <c r="B36" s="1352" t="s">
        <v>1321</v>
      </c>
      <c r="C36" s="1353"/>
      <c r="D36" s="1358" t="s">
        <v>3197</v>
      </c>
      <c r="E36" s="2845" t="s">
        <v>193</v>
      </c>
      <c r="F36" s="2842"/>
      <c r="G36" s="2842"/>
      <c r="H36" s="906"/>
      <c r="I36" s="2843"/>
      <c r="J36" s="2843"/>
      <c r="K36" s="2843"/>
      <c r="L36" s="2844"/>
      <c r="M36" s="2844"/>
      <c r="O36" s="3802"/>
      <c r="P36" s="3802"/>
      <c r="Q36" s="3802"/>
    </row>
    <row r="37" spans="1:19" s="8" customFormat="1" ht="12" customHeight="1">
      <c r="B37" s="1356" t="s">
        <v>1765</v>
      </c>
      <c r="C37" s="1357"/>
      <c r="D37" s="248"/>
      <c r="E37" s="220"/>
      <c r="F37" s="2842"/>
      <c r="G37" s="2842"/>
      <c r="H37" s="907"/>
      <c r="I37" s="2843"/>
      <c r="J37" s="2843"/>
      <c r="K37" s="2843"/>
      <c r="L37" s="2844"/>
      <c r="M37" s="2844"/>
      <c r="O37" s="3802"/>
      <c r="P37" s="3802"/>
      <c r="Q37" s="3802"/>
    </row>
    <row r="38" spans="1:19" s="8" customFormat="1" ht="12" customHeight="1">
      <c r="B38" s="1356" t="s">
        <v>711</v>
      </c>
      <c r="C38" s="3815"/>
      <c r="D38" s="3816"/>
      <c r="E38" s="3817"/>
      <c r="F38" s="2846"/>
      <c r="G38" s="2846"/>
      <c r="H38" s="909"/>
      <c r="I38" s="2847"/>
      <c r="J38" s="2847"/>
      <c r="K38" s="2847"/>
      <c r="L38" s="2848"/>
      <c r="M38" s="2848"/>
      <c r="O38" s="3802"/>
      <c r="P38" s="3802"/>
      <c r="Q38" s="3802"/>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2"/>
      <c r="P39" s="3802"/>
      <c r="Q39" s="3802"/>
    </row>
    <row r="40" spans="1:19" ht="6" customHeight="1">
      <c r="A40" s="8"/>
    </row>
    <row r="41" spans="1:19" s="8" customFormat="1">
      <c r="B41" s="418" t="s">
        <v>3198</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03" t="s">
        <v>6919</v>
      </c>
      <c r="C43" s="3804"/>
      <c r="D43" s="3804"/>
      <c r="E43" s="3804"/>
      <c r="F43" s="3804"/>
      <c r="G43" s="3804"/>
      <c r="H43" s="3804"/>
      <c r="I43" s="3804"/>
      <c r="J43" s="3804"/>
      <c r="K43" s="3804"/>
      <c r="L43" s="3804"/>
      <c r="M43" s="3805"/>
      <c r="N43" s="27"/>
      <c r="O43" s="3133" t="s">
        <v>2542</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1760</v>
      </c>
      <c r="M45" s="27"/>
      <c r="N45" s="27"/>
      <c r="O45" s="3133"/>
      <c r="P45" s="3133"/>
      <c r="Q45" s="3133"/>
      <c r="R45" s="3133"/>
      <c r="S45" s="3133"/>
    </row>
    <row r="46" spans="1:19" s="8" customFormat="1" ht="24.75" customHeight="1">
      <c r="B46" s="3806"/>
      <c r="C46" s="3807"/>
      <c r="D46" s="3807"/>
      <c r="E46" s="3807"/>
      <c r="F46" s="3807"/>
      <c r="G46" s="3807"/>
      <c r="H46" s="3807"/>
      <c r="I46" s="3807"/>
      <c r="J46" s="3807"/>
      <c r="K46" s="3807"/>
      <c r="L46" s="3807"/>
      <c r="M46" s="3808"/>
      <c r="N46" s="27"/>
      <c r="O46" s="3133"/>
      <c r="P46" s="3133"/>
      <c r="Q46" s="3133"/>
      <c r="R46" s="3133"/>
      <c r="S46" s="3133"/>
    </row>
  </sheetData>
  <sheetProtection algorithmName="SHA-512" hashValue="wUwC7oJqrDb6jyIBYDBWdfAkdchPoyFGcZLHBvlC0AAqF1woRsetgIf45wNiw56RXl5Jf+QoimObwIUevaJaRg==" saltValue="2Sch3yx5IiU7E4FUXhdXs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D17884-6956-4028-84DE-6BC710760ED0}">
  <ds:schemaRefs>
    <ds:schemaRef ds:uri="431100d4-4470-42c1-96bc-46686c1829ae"/>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 ds:uri="http://schemas.microsoft.com/office/infopath/2007/PartnerControls"/>
    <ds:schemaRef ds:uri="4425f765-7ff5-4475-924d-a1e4ebf7f4e1"/>
    <ds:schemaRef ds:uri="http://purl.org/dc/dcmitype/"/>
  </ds:schemaRefs>
</ds:datastoreItem>
</file>

<file path=customXml/itemProps2.xml><?xml version="1.0" encoding="utf-8"?>
<ds:datastoreItem xmlns:ds="http://schemas.openxmlformats.org/officeDocument/2006/customXml" ds:itemID="{C0B432DB-13D3-4038-BB0D-86871745E331}">
  <ds:schemaRefs>
    <ds:schemaRef ds:uri="http://schemas.microsoft.com/sharepoint/v3/contenttype/forms"/>
  </ds:schemaRefs>
</ds:datastoreItem>
</file>

<file path=customXml/itemProps3.xml><?xml version="1.0" encoding="utf-8"?>
<ds:datastoreItem xmlns:ds="http://schemas.openxmlformats.org/officeDocument/2006/customXml" ds:itemID="{18A1646A-0B2D-46E7-B70F-D3F9C44C86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2021-05-19T18:18:02Z</cp:lastPrinted>
  <dcterms:created xsi:type="dcterms:W3CDTF">2005-09-15T20:51:37Z</dcterms:created>
  <dcterms:modified xsi:type="dcterms:W3CDTF">2021-10-08T18:52:04Z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